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dc.sharepoint.com/sites/IntranetHub/Shared Documents/WI Green Innovation Fund (GIF)/Greenhouse Gas Reduction Fund (GGRF)/Solar for All/3 - Managing Award/Prog Admin. RFP/Final package/"/>
    </mc:Choice>
  </mc:AlternateContent>
  <xr:revisionPtr revIDLastSave="49" documentId="8_{4D0F17EB-ED42-42A0-8C7C-2FD02BF14ABF}" xr6:coauthVersionLast="47" xr6:coauthVersionMax="47" xr10:uidLastSave="{B388FF59-E810-4F74-A97B-CDF1FC1FCAC5}"/>
  <bookViews>
    <workbookView xWindow="-630" yWindow="-16320" windowWidth="29040" windowHeight="15840" xr2:uid="{9C19D0A9-548E-48E9-B4FF-07BBA97ED603}"/>
  </bookViews>
  <sheets>
    <sheet name="PowerUp Wisconsin" sheetId="15" r:id="rId1"/>
    <sheet name="Fringe detail" sheetId="6" state="hidden" r:id="rId2"/>
  </sheets>
  <definedNames>
    <definedName name="_xlnm._FilterDatabase" localSheetId="0" hidden="1">'PowerUp Wisconsin'!#REF!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5" l="1"/>
  <c r="H58" i="15" s="1"/>
  <c r="G56" i="15"/>
  <c r="G58" i="15" s="1"/>
  <c r="F56" i="15"/>
  <c r="F58" i="15" s="1"/>
  <c r="E56" i="15"/>
  <c r="E58" i="15" s="1"/>
  <c r="D56" i="15"/>
  <c r="D58" i="15" s="1"/>
  <c r="J55" i="15"/>
  <c r="J54" i="15"/>
  <c r="J53" i="15"/>
  <c r="J52" i="15"/>
  <c r="H50" i="15"/>
  <c r="G50" i="15"/>
  <c r="F50" i="15"/>
  <c r="E50" i="15"/>
  <c r="D50" i="15"/>
  <c r="J50" i="15" s="1"/>
  <c r="J49" i="15"/>
  <c r="J48" i="15"/>
  <c r="J47" i="15"/>
  <c r="J46" i="15"/>
  <c r="J45" i="15"/>
  <c r="J44" i="15"/>
  <c r="J43" i="15"/>
  <c r="J41" i="15"/>
  <c r="H41" i="15"/>
  <c r="G41" i="15"/>
  <c r="F41" i="15"/>
  <c r="E41" i="15"/>
  <c r="D41" i="15"/>
  <c r="J40" i="15"/>
  <c r="J39" i="15"/>
  <c r="J38" i="15"/>
  <c r="J36" i="15"/>
  <c r="H33" i="15"/>
  <c r="G33" i="15"/>
  <c r="F33" i="15"/>
  <c r="E33" i="15"/>
  <c r="D33" i="15"/>
  <c r="J33" i="15" s="1"/>
  <c r="J31" i="15"/>
  <c r="J29" i="15"/>
  <c r="J28" i="15"/>
  <c r="J26" i="15"/>
  <c r="J25" i="15"/>
  <c r="J24" i="15"/>
  <c r="J22" i="15"/>
  <c r="J21" i="15"/>
  <c r="J20" i="15"/>
  <c r="H17" i="15"/>
  <c r="G17" i="15"/>
  <c r="F17" i="15"/>
  <c r="E17" i="15"/>
  <c r="D17" i="15"/>
  <c r="J16" i="15"/>
  <c r="J15" i="15"/>
  <c r="J14" i="15"/>
  <c r="J17" i="15" s="1"/>
  <c r="H12" i="15"/>
  <c r="H59" i="15" s="1"/>
  <c r="G12" i="15"/>
  <c r="G59" i="15" s="1"/>
  <c r="F12" i="15"/>
  <c r="F59" i="15" s="1"/>
  <c r="E12" i="15"/>
  <c r="E59" i="15" s="1"/>
  <c r="D12" i="15"/>
  <c r="D59" i="15" s="1"/>
  <c r="J11" i="15"/>
  <c r="J10" i="15"/>
  <c r="J9" i="15"/>
  <c r="J58" i="15" l="1"/>
  <c r="J12" i="15"/>
  <c r="J59" i="15" s="1"/>
  <c r="J56" i="15"/>
  <c r="D18" i="6" l="1"/>
  <c r="D73" i="6" s="1"/>
  <c r="B13" i="6"/>
  <c r="F73" i="6"/>
  <c r="F42" i="6"/>
  <c r="G42" i="6" s="1"/>
  <c r="F40" i="6"/>
  <c r="F53" i="6" s="1"/>
  <c r="F36" i="6"/>
  <c r="F37" i="6" s="1"/>
  <c r="B36" i="6"/>
  <c r="B49" i="6" s="1"/>
  <c r="F30" i="6"/>
  <c r="G30" i="6" s="1"/>
  <c r="B30" i="6"/>
  <c r="D29" i="6"/>
  <c r="F28" i="6"/>
  <c r="G28" i="6" s="1"/>
  <c r="F27" i="6"/>
  <c r="G27" i="6" s="1"/>
  <c r="D27" i="6"/>
  <c r="F26" i="6"/>
  <c r="G26" i="6" s="1"/>
  <c r="F24" i="6"/>
  <c r="D23" i="6"/>
  <c r="D26" i="6" s="1"/>
  <c r="D17" i="6"/>
  <c r="B17" i="6"/>
  <c r="E16" i="6"/>
  <c r="D16" i="6"/>
  <c r="B16" i="6"/>
  <c r="D15" i="6"/>
  <c r="E15" i="6" s="1"/>
  <c r="B15" i="6"/>
  <c r="H15" i="6" s="1"/>
  <c r="H14" i="6"/>
  <c r="D14" i="6"/>
  <c r="B14" i="6"/>
  <c r="D13" i="6"/>
  <c r="D11" i="6"/>
  <c r="E14" i="6" s="1"/>
  <c r="B10" i="6"/>
  <c r="B23" i="6" s="1"/>
  <c r="B24" i="6" s="1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E18" i="6" l="1"/>
  <c r="H13" i="6"/>
  <c r="E13" i="6"/>
  <c r="C14" i="6"/>
  <c r="F39" i="6"/>
  <c r="F41" i="6"/>
  <c r="G41" i="6" s="1"/>
  <c r="D24" i="6"/>
  <c r="D36" i="6"/>
  <c r="B37" i="6"/>
  <c r="H16" i="6"/>
  <c r="B29" i="6"/>
  <c r="C16" i="6"/>
  <c r="C24" i="6"/>
  <c r="B28" i="6"/>
  <c r="B26" i="6"/>
  <c r="C30" i="6"/>
  <c r="B43" i="6"/>
  <c r="E27" i="6"/>
  <c r="D40" i="6"/>
  <c r="G53" i="6"/>
  <c r="F66" i="6"/>
  <c r="G66" i="6" s="1"/>
  <c r="B50" i="6"/>
  <c r="B62" i="6"/>
  <c r="B63" i="6" s="1"/>
  <c r="E29" i="6"/>
  <c r="D42" i="6"/>
  <c r="D30" i="6"/>
  <c r="H17" i="6"/>
  <c r="E17" i="6"/>
  <c r="B27" i="6"/>
  <c r="B11" i="6"/>
  <c r="F49" i="6"/>
  <c r="B18" i="6"/>
  <c r="F31" i="6"/>
  <c r="G31" i="6" s="1"/>
  <c r="F43" i="6"/>
  <c r="F55" i="6"/>
  <c r="G29" i="6"/>
  <c r="G40" i="6"/>
  <c r="C18" i="6" l="1"/>
  <c r="B73" i="6"/>
  <c r="G55" i="6"/>
  <c r="F68" i="6"/>
  <c r="G68" i="6" s="1"/>
  <c r="E42" i="6"/>
  <c r="D55" i="6"/>
  <c r="H29" i="6"/>
  <c r="C29" i="6"/>
  <c r="B42" i="6"/>
  <c r="D43" i="6"/>
  <c r="E30" i="6"/>
  <c r="F50" i="6"/>
  <c r="F62" i="6"/>
  <c r="F63" i="6" s="1"/>
  <c r="H18" i="6"/>
  <c r="H73" i="6" s="1"/>
  <c r="I17" i="6"/>
  <c r="E40" i="6"/>
  <c r="D53" i="6"/>
  <c r="C28" i="6"/>
  <c r="G43" i="6"/>
  <c r="F56" i="6"/>
  <c r="F44" i="6"/>
  <c r="G44" i="6" s="1"/>
  <c r="G39" i="6"/>
  <c r="C37" i="6"/>
  <c r="B41" i="6"/>
  <c r="B39" i="6"/>
  <c r="C43" i="6"/>
  <c r="B56" i="6"/>
  <c r="I16" i="6"/>
  <c r="C50" i="6"/>
  <c r="B54" i="6"/>
  <c r="B52" i="6"/>
  <c r="H30" i="6"/>
  <c r="C63" i="6"/>
  <c r="B67" i="6"/>
  <c r="B65" i="6"/>
  <c r="C17" i="6"/>
  <c r="C13" i="6"/>
  <c r="H11" i="6"/>
  <c r="I13" i="6" s="1"/>
  <c r="C15" i="6"/>
  <c r="C11" i="6"/>
  <c r="H27" i="6"/>
  <c r="C27" i="6"/>
  <c r="B40" i="6"/>
  <c r="D37" i="6"/>
  <c r="H37" i="6" s="1"/>
  <c r="D2" i="6" s="1"/>
  <c r="D49" i="6"/>
  <c r="H26" i="6"/>
  <c r="C26" i="6"/>
  <c r="B31" i="6"/>
  <c r="C31" i="6" s="1"/>
  <c r="H24" i="6"/>
  <c r="C2" i="6" s="1"/>
  <c r="D28" i="6"/>
  <c r="E26" i="6"/>
  <c r="E53" i="6" l="1"/>
  <c r="D66" i="6"/>
  <c r="E66" i="6" s="1"/>
  <c r="E28" i="6"/>
  <c r="D31" i="6"/>
  <c r="E31" i="6" s="1"/>
  <c r="C67" i="6"/>
  <c r="I27" i="6"/>
  <c r="C56" i="6"/>
  <c r="B69" i="6"/>
  <c r="I29" i="6"/>
  <c r="E43" i="6"/>
  <c r="D56" i="6"/>
  <c r="G56" i="6"/>
  <c r="F69" i="6"/>
  <c r="G69" i="6" s="1"/>
  <c r="B3" i="6"/>
  <c r="I18" i="6"/>
  <c r="E55" i="6"/>
  <c r="D68" i="6"/>
  <c r="E68" i="6" s="1"/>
  <c r="H40" i="6"/>
  <c r="I40" i="6" s="1"/>
  <c r="C40" i="6"/>
  <c r="B53" i="6"/>
  <c r="H42" i="6"/>
  <c r="I42" i="6" s="1"/>
  <c r="C42" i="6"/>
  <c r="B55" i="6"/>
  <c r="I30" i="6"/>
  <c r="H43" i="6"/>
  <c r="I43" i="6" s="1"/>
  <c r="F65" i="6"/>
  <c r="F67" i="6"/>
  <c r="G67" i="6" s="1"/>
  <c r="I26" i="6"/>
  <c r="B2" i="6"/>
  <c r="I14" i="6"/>
  <c r="I15" i="6"/>
  <c r="C52" i="6"/>
  <c r="B57" i="6"/>
  <c r="C57" i="6" s="1"/>
  <c r="H39" i="6"/>
  <c r="C39" i="6"/>
  <c r="B44" i="6"/>
  <c r="C44" i="6" s="1"/>
  <c r="F54" i="6"/>
  <c r="G54" i="6" s="1"/>
  <c r="F52" i="6"/>
  <c r="D41" i="6"/>
  <c r="E41" i="6" s="1"/>
  <c r="D39" i="6"/>
  <c r="C65" i="6"/>
  <c r="D50" i="6"/>
  <c r="D62" i="6"/>
  <c r="D63" i="6" s="1"/>
  <c r="C54" i="6"/>
  <c r="H41" i="6"/>
  <c r="I41" i="6" s="1"/>
  <c r="C41" i="6"/>
  <c r="H28" i="6"/>
  <c r="I28" i="6" s="1"/>
  <c r="G65" i="6" l="1"/>
  <c r="F70" i="6"/>
  <c r="G70" i="6" s="1"/>
  <c r="E56" i="6"/>
  <c r="D69" i="6"/>
  <c r="E69" i="6" s="1"/>
  <c r="I39" i="6"/>
  <c r="H44" i="6"/>
  <c r="H53" i="6"/>
  <c r="C53" i="6"/>
  <c r="B66" i="6"/>
  <c r="E39" i="6"/>
  <c r="D44" i="6"/>
  <c r="E44" i="6" s="1"/>
  <c r="F57" i="6"/>
  <c r="G57" i="6" s="1"/>
  <c r="G52" i="6"/>
  <c r="H69" i="6"/>
  <c r="I69" i="6" s="1"/>
  <c r="C69" i="6"/>
  <c r="D67" i="6"/>
  <c r="D65" i="6"/>
  <c r="H63" i="6"/>
  <c r="F2" i="6" s="1"/>
  <c r="H55" i="6"/>
  <c r="C55" i="6"/>
  <c r="B68" i="6"/>
  <c r="D54" i="6"/>
  <c r="D52" i="6"/>
  <c r="H50" i="6"/>
  <c r="E2" i="6" s="1"/>
  <c r="B4" i="6"/>
  <c r="H56" i="6"/>
  <c r="H31" i="6"/>
  <c r="I53" i="6" l="1"/>
  <c r="H68" i="6"/>
  <c r="I68" i="6" s="1"/>
  <c r="C68" i="6"/>
  <c r="E52" i="6"/>
  <c r="D57" i="6"/>
  <c r="E57" i="6" s="1"/>
  <c r="H52" i="6"/>
  <c r="I44" i="6"/>
  <c r="D3" i="6"/>
  <c r="D4" i="6" s="1"/>
  <c r="I56" i="6"/>
  <c r="E54" i="6"/>
  <c r="H54" i="6"/>
  <c r="I54" i="6" s="1"/>
  <c r="I55" i="6"/>
  <c r="E67" i="6"/>
  <c r="H67" i="6"/>
  <c r="I67" i="6" s="1"/>
  <c r="I31" i="6"/>
  <c r="C3" i="6"/>
  <c r="G2" i="6"/>
  <c r="E65" i="6"/>
  <c r="D70" i="6"/>
  <c r="E70" i="6" s="1"/>
  <c r="H65" i="6"/>
  <c r="H66" i="6"/>
  <c r="I66" i="6" s="1"/>
  <c r="C66" i="6"/>
  <c r="B70" i="6"/>
  <c r="C70" i="6" s="1"/>
  <c r="I52" i="6" l="1"/>
  <c r="H57" i="6"/>
  <c r="I65" i="6"/>
  <c r="H70" i="6"/>
  <c r="C4" i="6"/>
  <c r="I70" i="6" l="1"/>
  <c r="F3" i="6"/>
  <c r="F4" i="6" s="1"/>
  <c r="I57" i="6"/>
  <c r="E3" i="6"/>
  <c r="E4" i="6" l="1"/>
  <c r="G3" i="6"/>
  <c r="G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tc={177D0436-E368-4254-A909-E334BF04010C}</author>
  </authors>
  <commentList>
    <comment ref="Y14" authorId="0" shapeId="0" xr:uid="{177D0436-E368-4254-A909-E334BF04010C}">
      <text>
        <t>[Threaded comment]
Your version of Excel allows you to read this threaded comment; however, any edits to it will get removed if the file is opened in a newer version of Excel. Learn more: https://go.microsoft.com/fwlink/?linkid=870924
Comment:
    4/18/24 per Miko, PTO sellback does not have WRS taken - removed from calc.</t>
      </text>
    </comment>
  </commentList>
</comments>
</file>

<file path=xl/sharedStrings.xml><?xml version="1.0" encoding="utf-8"?>
<sst xmlns="http://schemas.openxmlformats.org/spreadsheetml/2006/main" count="319" uniqueCount="150">
  <si>
    <t>Detailed Budget Table</t>
  </si>
  <si>
    <r>
      <t xml:space="preserve">An OPTIONAL template for applicants to fill in and submit in the </t>
    </r>
    <r>
      <rPr>
        <i/>
        <u/>
        <sz val="11"/>
        <color theme="1"/>
        <rFont val="Calibri"/>
        <family val="2"/>
        <scheme val="minor"/>
      </rPr>
      <t>Application Materials, Attachment E: Budget Table</t>
    </r>
    <r>
      <rPr>
        <i/>
        <sz val="11"/>
        <color theme="1"/>
        <rFont val="Calibri"/>
        <family val="2"/>
        <scheme val="minor"/>
      </rPr>
      <t xml:space="preserve"> described in in Section 2.1 of the Program Narrative</t>
    </r>
  </si>
  <si>
    <t>BUDGET BY YEAR</t>
  </si>
  <si>
    <t>TOTAL BUDGET BY ACTIVITY BUCKET</t>
  </si>
  <si>
    <t>May 24 - April 25</t>
  </si>
  <si>
    <t>May 25 - April 26</t>
  </si>
  <si>
    <t>May 26 - April 27</t>
  </si>
  <si>
    <t>May 27 - April 28</t>
  </si>
  <si>
    <t>May 28 - April 29</t>
  </si>
  <si>
    <t>COST-TYPE</t>
  </si>
  <si>
    <t>CATEGORY</t>
  </si>
  <si>
    <t>YEAR 1</t>
  </si>
  <si>
    <t>YEAR 2</t>
  </si>
  <si>
    <t>YEAR 3</t>
  </si>
  <si>
    <t>YEAR 4</t>
  </si>
  <si>
    <t>YEAR 5</t>
  </si>
  <si>
    <t>TOTAL</t>
  </si>
  <si>
    <t>FINANCIAL ASSISTANCE</t>
  </si>
  <si>
    <t>Direct Costs</t>
  </si>
  <si>
    <t xml:space="preserve">PERSONNEL </t>
  </si>
  <si>
    <t> </t>
  </si>
  <si>
    <t>0.7 FTE at $127,500  /year for the WEDC Vice President of Productivity and Sustainability</t>
  </si>
  <si>
    <t>Co-lead working with Prog Admin</t>
  </si>
  <si>
    <t>1 FTE at $90,900 for the WEDC Project Director Solar for All</t>
  </si>
  <si>
    <t>1 FTE at $80,000 for a Project Manager, starting in Year 2</t>
  </si>
  <si>
    <t>Authorized Rep. overseeing WEDC strategic clean energy direction, outreach and engagement w/ WI partners</t>
  </si>
  <si>
    <t xml:space="preserve">TOTAL PERSONNEL </t>
  </si>
  <si>
    <t xml:space="preserve">FRINGE BENEFITS  </t>
  </si>
  <si>
    <t>0.7 FTE WEDC VP of Productivity and Sustainability  @ 34% of salary</t>
  </si>
  <si>
    <t>1 FTE Project Director @ 43% of salary</t>
  </si>
  <si>
    <t>1 FTE Project Manager starting Year 2 @ 47% of salary</t>
  </si>
  <si>
    <t xml:space="preserve"> TOTAL FRINGE BENEFITS  </t>
  </si>
  <si>
    <t xml:space="preserve">TRAVEL </t>
  </si>
  <si>
    <t>Travel for 2 senior staff members to the RE+ Conference (one staff member in year one and two staff members each subsequent year)</t>
  </si>
  <si>
    <t>Travel for leadership staff learn about solar/energy tech and interface with national colleagues; learn best practices from other states</t>
  </si>
  <si>
    <t>Airfare: 2 staff @ $633 round trip  (MSN to LAX)</t>
  </si>
  <si>
    <t xml:space="preserve">Per Diem: 2 staff X 4 days @ $92/day  </t>
  </si>
  <si>
    <t xml:space="preserve">Hotel: 2 staff X 3 nights @ $191/night  </t>
  </si>
  <si>
    <t xml:space="preserve">Travel for 2 senior staff for the National Energy Summit for States in  Washington, DC </t>
  </si>
  <si>
    <t>Airfare: 2 staff @ $398 round trip  (MSN to DCA)</t>
  </si>
  <si>
    <t xml:space="preserve">Per Diem: 2 staff X 3 days @ $92/day </t>
  </si>
  <si>
    <t xml:space="preserve">Hotel: 2 staff X 2 nights @ $275/night </t>
  </si>
  <si>
    <t>Local Travel - Attend ground breakings ribbon cutting events for new projects</t>
  </si>
  <si>
    <t xml:space="preserve">Hotel: 2 staff X 10 nights per year @ $140/night (standard rate)  </t>
  </si>
  <si>
    <t>Per Diem: 2 staff X 15 days @ $80/day</t>
  </si>
  <si>
    <t xml:space="preserve">Local Mileage </t>
  </si>
  <si>
    <t xml:space="preserve">2 Senior staff, 200 mi/mo/staff @ $.65/mi x 12 mo  </t>
  </si>
  <si>
    <t>Local Outreach - site visits, training demonstrations, community meetings, etc.</t>
  </si>
  <si>
    <t xml:space="preserve"> TOTAL TRAVEL </t>
  </si>
  <si>
    <t xml:space="preserve">EQUIPMENT </t>
  </si>
  <si>
    <t/>
  </si>
  <si>
    <t>N/A</t>
  </si>
  <si>
    <t xml:space="preserve"> TOTAL EQUIPMENT </t>
  </si>
  <si>
    <t xml:space="preserve">SUPPLIES </t>
  </si>
  <si>
    <t>Office Supplies: General office materials such as paper, pens, markers, binders, notebooks, and folders.</t>
  </si>
  <si>
    <t>Workshop Supplies: Materials for training sessions and outreach workshops, including flip charts, sticky notes, handouts, and participant kits.</t>
  </si>
  <si>
    <t>Miscellaneous: Unforeseen expenses such as additional supplies or special event needs.</t>
  </si>
  <si>
    <t>If eligible, promote Wi SFA program benefits/opportunities</t>
  </si>
  <si>
    <t xml:space="preserve"> TOTAL SUPPLIES </t>
  </si>
  <si>
    <t>CONTRACTUAL</t>
  </si>
  <si>
    <t>Primarily responsible for executing WSFA program - working with vendors, utilities to create projects; identify and coordinate customer pipeline; support ongoing workforce buildout; assist with reporting requirements and fund management</t>
  </si>
  <si>
    <t>Community Engagement, Education, and Workforce Development Administration
Covers the administration of programs focused on community engagement, education, and workforce development.</t>
  </si>
  <si>
    <t>Essential to program - current/future WI businesses working communities, clean energy, workforce, project deployment TA</t>
  </si>
  <si>
    <t>Outreach Consultant, 543 hours at $184 per hour.</t>
  </si>
  <si>
    <t>Working with Community Based Orgs to communicate benefits of SFA</t>
  </si>
  <si>
    <t>Legal Consultant  51 hours at $256 per hour.</t>
  </si>
  <si>
    <t>Assist with contracting, RFP review, etc.</t>
  </si>
  <si>
    <t>Events Consultant  (event facilitator, 32 hours at $184 per hour) - 2 events/year</t>
  </si>
  <si>
    <t>Working with outreach consultant to showcase benefits/achievements of WSFA with potential/customers, businesses, communities engaged with WSFA</t>
  </si>
  <si>
    <t>Year End Single Audit reports</t>
  </si>
  <si>
    <t>Assist with reporting/quality assurance</t>
  </si>
  <si>
    <t>Internal Third Party Auditor</t>
  </si>
  <si>
    <t xml:space="preserve"> TOTAL  CONTRACTUAL</t>
  </si>
  <si>
    <t>OTHER - Subawards (Financial Assistance)</t>
  </si>
  <si>
    <t>Financial Assistance Subaward (Grants)  – Single Family Homes</t>
  </si>
  <si>
    <t>incentives private capital involvement</t>
  </si>
  <si>
    <t xml:space="preserve">Financial Assistance Subaward (Grants)    – Multi-Family Homes </t>
  </si>
  <si>
    <t>grows pool of funding over time; loan and incentives private capital involvement</t>
  </si>
  <si>
    <t xml:space="preserve">Financial Assistance Subaward (Grants)  – Community Solar </t>
  </si>
  <si>
    <t>Project may being in years 1-5 but not be completed until later years. Effort to make the fund sustainable in long term</t>
  </si>
  <si>
    <t xml:space="preserve">Financial Assistance Subaward (Grants)  - SolarShare Wisconsin Cooperative Community Solar </t>
  </si>
  <si>
    <t xml:space="preserve">Innovative model - not location dependent. Share owners receive dividends.  </t>
  </si>
  <si>
    <t xml:space="preserve"> TOTAL OTHER - Subawards (Financial Assistance)</t>
  </si>
  <si>
    <t>OTHER - In-kind technical assistance</t>
  </si>
  <si>
    <t>TOTAL OTHER</t>
  </si>
  <si>
    <t>Indirect Costs</t>
  </si>
  <si>
    <t>Indirect costs on financial assistance direct costs</t>
  </si>
  <si>
    <t>Indirect costs on other direct costs</t>
  </si>
  <si>
    <t xml:space="preserve"> TOTAL INDIRECT </t>
  </si>
  <si>
    <t>Year 1</t>
  </si>
  <si>
    <t>Year 2</t>
  </si>
  <si>
    <t>Year 3</t>
  </si>
  <si>
    <t>Year 4</t>
  </si>
  <si>
    <t>Year 5</t>
  </si>
  <si>
    <t>Total</t>
  </si>
  <si>
    <t>Hybrid</t>
  </si>
  <si>
    <t>Vacancy 3%</t>
  </si>
  <si>
    <t>COLA 2%</t>
  </si>
  <si>
    <t>WRS</t>
  </si>
  <si>
    <t>HSA125</t>
  </si>
  <si>
    <t>LTD/STD</t>
  </si>
  <si>
    <t>S125Life</t>
  </si>
  <si>
    <t>BYOD</t>
  </si>
  <si>
    <t>Health Insurance Use w/5% increase in Jan</t>
  </si>
  <si>
    <t>EAP</t>
  </si>
  <si>
    <t>Dental Insurance Use w/5% increase in Jan</t>
  </si>
  <si>
    <t>Health Opt Out</t>
  </si>
  <si>
    <t>PTO Sellback</t>
  </si>
  <si>
    <t>Tax</t>
  </si>
  <si>
    <t>Salary</t>
  </si>
  <si>
    <t xml:space="preserve"> -   </t>
  </si>
  <si>
    <t>Fringe</t>
  </si>
  <si>
    <t>Position Title</t>
  </si>
  <si>
    <t>Employee</t>
  </si>
  <si>
    <t>Type</t>
  </si>
  <si>
    <t>Department</t>
  </si>
  <si>
    <t>Project</t>
  </si>
  <si>
    <t>Grade</t>
  </si>
  <si>
    <t>FTE</t>
  </si>
  <si>
    <t>Promo Salary Change</t>
  </si>
  <si>
    <t>New Pos Salary</t>
  </si>
  <si>
    <t>Trainer</t>
  </si>
  <si>
    <t>Vice President of Productivity &amp; Sustainability</t>
  </si>
  <si>
    <t>Francisco Sayu</t>
  </si>
  <si>
    <t>4500 Productivity &amp; Sustainability</t>
  </si>
  <si>
    <t>0.7 FTE WEDC VP of Productivity and Sustainability  @ $127,500</t>
  </si>
  <si>
    <t>1 FTE WEDC  Project Director of  Project Director Solar for All @ $90,900</t>
  </si>
  <si>
    <t>1 FTE WEDC  Project Director of  Project Director Solar for All @ $80,000</t>
  </si>
  <si>
    <t>Productivity &amp; Sustainability Intern</t>
  </si>
  <si>
    <t>Vacant 86 Vacant</t>
  </si>
  <si>
    <t>INT</t>
  </si>
  <si>
    <t>Amount</t>
  </si>
  <si>
    <t>%</t>
  </si>
  <si>
    <t>Project Director</t>
  </si>
  <si>
    <t>Vacant 88 Vacant</t>
  </si>
  <si>
    <t>PRJ-New</t>
  </si>
  <si>
    <t>Annual salary</t>
  </si>
  <si>
    <t>Project Manager</t>
  </si>
  <si>
    <t>Vacant 87 Vacant</t>
  </si>
  <si>
    <t>Salary Allocated to SFA</t>
  </si>
  <si>
    <t xml:space="preserve">Fringe </t>
  </si>
  <si>
    <t>FICA</t>
  </si>
  <si>
    <t>Health Insurance</t>
  </si>
  <si>
    <t>Emp #</t>
  </si>
  <si>
    <t>Prof Dev</t>
  </si>
  <si>
    <t>Pension</t>
  </si>
  <si>
    <t>Prof Development</t>
  </si>
  <si>
    <t>Other Benefits</t>
  </si>
  <si>
    <t xml:space="preserve"> Annual Fringe</t>
  </si>
  <si>
    <t>Program Implementation
Program Administrator costs are estimated at 10% of the total financial assistance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</si>
</sst>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 &quot;#,##0.00&quot; &quot;;&quot; (&quot;#,##0.00&quot;)&quot;;&quot; -&quot;00&quot; &quot;;&quot; &quot;@&quot; &quot;"/>
    <numFmt numFmtId="167" formatCode="0.0%"/>
    <numFmt numFmtId="168" formatCode="&quot; &quot;&quot;$&quot;#,##0.00&quot; &quot;;&quot; &quot;&quot;$&quot;&quot;(&quot;#,##0.00&quot;)&quot;;&quot; &quot;&quot;$&quot;&quot;-&quot;00&quot; &quot;;&quot; &quot;@&quot; &quot;"/>
    <numFmt numFmtId="169" formatCode="&quot; &quot;&quot;$&quot;#,##0&quot; &quot;;&quot; &quot;&quot;$&quot;&quot;(&quot;#,##0&quot;)&quot;;&quot; &quot;&quot;$&quot;&quot;-&quot;00&quot; &quot;;&quot; &quot;@&quot; &quot;"/>
    <numFmt numFmtId="170" formatCode="&quot; &quot;#,##0&quot; &quot;;&quot; (&quot;#,##0&quot;)&quot;;&quot; -&quot;00&quot; &quot;;&quot; &quot;@&quot; &quot;"/>
    <numFmt numFmtId="171" formatCode="#,##0.00;\(#,##0.00\);\-"/>
    <numFmt numFmtId="172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66"/>
      <name val="Calibri"/>
      <family val="2"/>
    </font>
    <font>
      <b/>
      <sz val="11"/>
      <name val="Calibri"/>
      <family val="2"/>
    </font>
    <font>
      <sz val="11"/>
      <color rgb="FFFF0066"/>
      <name val="Calibri"/>
      <family val="2"/>
    </font>
    <font>
      <sz val="11"/>
      <color rgb="FF7030A0"/>
      <name val="Calibri"/>
      <family val="2"/>
    </font>
    <font>
      <sz val="11"/>
      <name val="Calibri"/>
      <family val="2"/>
    </font>
    <font>
      <sz val="11"/>
      <color rgb="FF0070C0"/>
      <name val="Calibri"/>
      <family val="2"/>
    </font>
    <font>
      <sz val="11"/>
      <color rgb="FF00B0F0"/>
      <name val="Calibri"/>
      <family val="2"/>
    </font>
    <font>
      <sz val="11"/>
      <color rgb="FF00B05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4" applyFont="1"/>
    <xf numFmtId="0" fontId="3" fillId="0" borderId="0" xfId="4" applyFont="1"/>
    <xf numFmtId="0" fontId="2" fillId="0" borderId="0" xfId="4" applyFont="1" applyAlignment="1">
      <alignment vertical="top"/>
    </xf>
    <xf numFmtId="164" fontId="0" fillId="0" borderId="0" xfId="5" applyNumberFormat="1" applyFont="1"/>
    <xf numFmtId="0" fontId="4" fillId="0" borderId="0" xfId="4" applyFont="1"/>
    <xf numFmtId="0" fontId="5" fillId="0" borderId="0" xfId="4" applyFont="1"/>
    <xf numFmtId="0" fontId="6" fillId="0" borderId="0" xfId="4" applyFont="1"/>
    <xf numFmtId="0" fontId="8" fillId="2" borderId="1" xfId="4" applyFont="1" applyFill="1" applyBorder="1"/>
    <xf numFmtId="0" fontId="9" fillId="2" borderId="2" xfId="4" applyFont="1" applyFill="1" applyBorder="1" applyAlignment="1">
      <alignment wrapText="1"/>
    </xf>
    <xf numFmtId="0" fontId="10" fillId="2" borderId="2" xfId="4" applyFont="1" applyFill="1" applyBorder="1" applyAlignment="1">
      <alignment wrapText="1"/>
    </xf>
    <xf numFmtId="0" fontId="10" fillId="2" borderId="3" xfId="4" applyFont="1" applyFill="1" applyBorder="1" applyAlignment="1">
      <alignment wrapText="1"/>
    </xf>
    <xf numFmtId="0" fontId="8" fillId="2" borderId="4" xfId="4" applyFont="1" applyFill="1" applyBorder="1"/>
    <xf numFmtId="0" fontId="8" fillId="2" borderId="5" xfId="4" applyFont="1" applyFill="1" applyBorder="1"/>
    <xf numFmtId="0" fontId="9" fillId="2" borderId="6" xfId="4" applyFont="1" applyFill="1" applyBorder="1" applyAlignment="1">
      <alignment wrapText="1"/>
    </xf>
    <xf numFmtId="0" fontId="10" fillId="2" borderId="6" xfId="4" applyFont="1" applyFill="1" applyBorder="1" applyAlignment="1">
      <alignment wrapText="1"/>
    </xf>
    <xf numFmtId="0" fontId="10" fillId="2" borderId="7" xfId="4" applyFont="1" applyFill="1" applyBorder="1" applyAlignment="1">
      <alignment wrapText="1"/>
    </xf>
    <xf numFmtId="0" fontId="11" fillId="3" borderId="8" xfId="4" applyFont="1" applyFill="1" applyBorder="1" applyAlignment="1">
      <alignment wrapText="1"/>
    </xf>
    <xf numFmtId="0" fontId="11" fillId="3" borderId="12" xfId="4" applyFont="1" applyFill="1" applyBorder="1" applyAlignment="1">
      <alignment wrapText="1"/>
    </xf>
    <xf numFmtId="0" fontId="12" fillId="0" borderId="13" xfId="4" applyFont="1" applyBorder="1" applyAlignment="1">
      <alignment vertical="top"/>
    </xf>
    <xf numFmtId="6" fontId="13" fillId="0" borderId="12" xfId="4" applyNumberFormat="1" applyFont="1" applyBorder="1" applyAlignment="1">
      <alignment wrapText="1"/>
    </xf>
    <xf numFmtId="0" fontId="4" fillId="0" borderId="12" xfId="4" applyFont="1" applyBorder="1" applyAlignment="1">
      <alignment wrapText="1"/>
    </xf>
    <xf numFmtId="0" fontId="11" fillId="5" borderId="12" xfId="4" applyFont="1" applyFill="1" applyBorder="1" applyAlignment="1">
      <alignment wrapText="1"/>
    </xf>
    <xf numFmtId="0" fontId="4" fillId="5" borderId="12" xfId="4" applyFont="1" applyFill="1" applyBorder="1" applyAlignment="1">
      <alignment wrapText="1"/>
    </xf>
    <xf numFmtId="0" fontId="11" fillId="0" borderId="12" xfId="4" applyFont="1" applyBorder="1" applyAlignment="1">
      <alignment wrapText="1"/>
    </xf>
    <xf numFmtId="6" fontId="3" fillId="0" borderId="12" xfId="4" applyNumberFormat="1" applyFont="1" applyBorder="1" applyAlignment="1">
      <alignment wrapText="1"/>
    </xf>
    <xf numFmtId="0" fontId="15" fillId="0" borderId="12" xfId="4" applyFont="1" applyBorder="1" applyAlignment="1">
      <alignment wrapText="1"/>
    </xf>
    <xf numFmtId="0" fontId="12" fillId="0" borderId="14" xfId="4" applyFont="1" applyBorder="1" applyAlignment="1">
      <alignment vertical="top"/>
    </xf>
    <xf numFmtId="0" fontId="12" fillId="0" borderId="0" xfId="4" applyFont="1"/>
    <xf numFmtId="8" fontId="12" fillId="0" borderId="0" xfId="4" applyNumberFormat="1" applyFont="1"/>
    <xf numFmtId="6" fontId="0" fillId="0" borderId="0" xfId="7" applyNumberFormat="1" applyFont="1"/>
    <xf numFmtId="0" fontId="12" fillId="0" borderId="12" xfId="4" applyFont="1" applyBorder="1"/>
    <xf numFmtId="0" fontId="1" fillId="0" borderId="0" xfId="4"/>
    <xf numFmtId="9" fontId="1" fillId="0" borderId="12" xfId="4" applyNumberFormat="1" applyBorder="1"/>
    <xf numFmtId="0" fontId="1" fillId="0" borderId="12" xfId="4" applyBorder="1"/>
    <xf numFmtId="0" fontId="16" fillId="0" borderId="12" xfId="4" applyFont="1" applyBorder="1" applyAlignment="1">
      <alignment wrapText="1"/>
    </xf>
    <xf numFmtId="6" fontId="16" fillId="5" borderId="12" xfId="4" applyNumberFormat="1" applyFont="1" applyFill="1" applyBorder="1" applyAlignment="1">
      <alignment wrapText="1"/>
    </xf>
    <xf numFmtId="0" fontId="3" fillId="0" borderId="12" xfId="4" applyFont="1" applyBorder="1" applyAlignment="1">
      <alignment horizontal="left" vertical="center" wrapText="1" indent="2"/>
    </xf>
    <xf numFmtId="0" fontId="3" fillId="0" borderId="12" xfId="4" applyFont="1" applyBorder="1" applyAlignment="1">
      <alignment horizontal="left" wrapText="1" indent="2"/>
    </xf>
    <xf numFmtId="6" fontId="0" fillId="0" borderId="0" xfId="0" applyNumberFormat="1"/>
    <xf numFmtId="8" fontId="0" fillId="0" borderId="0" xfId="0" applyNumberFormat="1"/>
    <xf numFmtId="4" fontId="0" fillId="0" borderId="0" xfId="0" applyNumberFormat="1"/>
    <xf numFmtId="0" fontId="17" fillId="0" borderId="0" xfId="0" applyFont="1"/>
    <xf numFmtId="4" fontId="17" fillId="0" borderId="0" xfId="0" applyNumberFormat="1" applyFont="1"/>
    <xf numFmtId="0" fontId="17" fillId="8" borderId="0" xfId="0" applyFont="1" applyFill="1"/>
    <xf numFmtId="4" fontId="17" fillId="8" borderId="0" xfId="0" applyNumberFormat="1" applyFont="1" applyFill="1"/>
    <xf numFmtId="0" fontId="3" fillId="4" borderId="12" xfId="4" applyFont="1" applyFill="1" applyBorder="1" applyAlignment="1">
      <alignment horizontal="left" wrapText="1"/>
    </xf>
    <xf numFmtId="0" fontId="18" fillId="0" borderId="0" xfId="0" applyFont="1"/>
    <xf numFmtId="10" fontId="0" fillId="6" borderId="0" xfId="3" applyNumberFormat="1" applyFont="1" applyFill="1" applyBorder="1"/>
    <xf numFmtId="0" fontId="0" fillId="6" borderId="0" xfId="0" applyFill="1"/>
    <xf numFmtId="10" fontId="0" fillId="6" borderId="0" xfId="3" applyNumberFormat="1" applyFont="1" applyFill="1"/>
    <xf numFmtId="0" fontId="3" fillId="6" borderId="0" xfId="4" applyFont="1" applyFill="1" applyAlignment="1">
      <alignment horizontal="center" vertical="center" wrapText="1"/>
    </xf>
    <xf numFmtId="166" fontId="0" fillId="0" borderId="0" xfId="1" applyFont="1"/>
    <xf numFmtId="170" fontId="0" fillId="6" borderId="0" xfId="1" applyNumberFormat="1" applyFont="1" applyFill="1" applyBorder="1"/>
    <xf numFmtId="170" fontId="0" fillId="6" borderId="0" xfId="1" applyNumberFormat="1" applyFont="1" applyFill="1"/>
    <xf numFmtId="0" fontId="3" fillId="4" borderId="12" xfId="4" applyFont="1" applyFill="1" applyBorder="1" applyAlignment="1">
      <alignment horizontal="left" wrapText="1" indent="2"/>
    </xf>
    <xf numFmtId="0" fontId="9" fillId="0" borderId="12" xfId="4" applyFont="1" applyBorder="1" applyAlignment="1">
      <alignment wrapText="1"/>
    </xf>
    <xf numFmtId="0" fontId="12" fillId="0" borderId="0" xfId="0" applyFont="1" applyAlignment="1">
      <alignment horizontal="center"/>
    </xf>
    <xf numFmtId="169" fontId="0" fillId="0" borderId="6" xfId="0" applyNumberFormat="1" applyBorder="1"/>
    <xf numFmtId="170" fontId="0" fillId="0" borderId="6" xfId="0" applyNumberFormat="1" applyBorder="1"/>
    <xf numFmtId="6" fontId="0" fillId="0" borderId="6" xfId="0" applyNumberFormat="1" applyBorder="1"/>
    <xf numFmtId="0" fontId="12" fillId="0" borderId="0" xfId="0" applyFont="1"/>
    <xf numFmtId="0" fontId="3" fillId="3" borderId="0" xfId="4" applyFont="1" applyFill="1" applyAlignment="1">
      <alignment horizontal="center" vertical="center" wrapText="1"/>
    </xf>
    <xf numFmtId="0" fontId="3" fillId="9" borderId="0" xfId="4" applyFont="1" applyFill="1" applyAlignment="1">
      <alignment horizontal="center" vertical="center" wrapText="1"/>
    </xf>
    <xf numFmtId="0" fontId="0" fillId="10" borderId="0" xfId="0" applyFill="1"/>
    <xf numFmtId="6" fontId="0" fillId="6" borderId="0" xfId="0" applyNumberFormat="1" applyFill="1"/>
    <xf numFmtId="169" fontId="0" fillId="3" borderId="0" xfId="2" applyNumberFormat="1" applyFont="1" applyFill="1" applyBorder="1"/>
    <xf numFmtId="0" fontId="0" fillId="3" borderId="0" xfId="0" applyFill="1"/>
    <xf numFmtId="170" fontId="0" fillId="9" borderId="0" xfId="1" applyNumberFormat="1" applyFont="1" applyFill="1" applyBorder="1"/>
    <xf numFmtId="0" fontId="0" fillId="9" borderId="0" xfId="0" applyFill="1"/>
    <xf numFmtId="6" fontId="0" fillId="10" borderId="0" xfId="0" applyNumberFormat="1" applyFill="1"/>
    <xf numFmtId="170" fontId="0" fillId="3" borderId="0" xfId="1" applyNumberFormat="1" applyFont="1" applyFill="1" applyBorder="1"/>
    <xf numFmtId="10" fontId="0" fillId="3" borderId="0" xfId="3" applyNumberFormat="1" applyFont="1" applyFill="1" applyBorder="1"/>
    <xf numFmtId="10" fontId="0" fillId="9" borderId="0" xfId="3" applyNumberFormat="1" applyFont="1" applyFill="1" applyBorder="1"/>
    <xf numFmtId="170" fontId="0" fillId="10" borderId="0" xfId="0" applyNumberFormat="1" applyFill="1"/>
    <xf numFmtId="167" fontId="0" fillId="10" borderId="0" xfId="3" applyNumberFormat="1" applyFont="1" applyFill="1"/>
    <xf numFmtId="167" fontId="0" fillId="3" borderId="0" xfId="3" applyNumberFormat="1" applyFont="1" applyFill="1" applyBorder="1"/>
    <xf numFmtId="167" fontId="0" fillId="9" borderId="0" xfId="3" applyNumberFormat="1" applyFont="1" applyFill="1" applyBorder="1"/>
    <xf numFmtId="0" fontId="19" fillId="0" borderId="0" xfId="0" applyFont="1"/>
    <xf numFmtId="0" fontId="20" fillId="11" borderId="0" xfId="0" applyFont="1" applyFill="1" applyAlignment="1">
      <alignment wrapText="1"/>
    </xf>
    <xf numFmtId="0" fontId="20" fillId="12" borderId="0" xfId="0" applyFont="1" applyFill="1" applyAlignment="1">
      <alignment wrapText="1"/>
    </xf>
    <xf numFmtId="0" fontId="21" fillId="0" borderId="0" xfId="0" applyFont="1"/>
    <xf numFmtId="171" fontId="22" fillId="0" borderId="0" xfId="0" applyNumberFormat="1" applyFont="1"/>
    <xf numFmtId="171" fontId="0" fillId="0" borderId="0" xfId="0" applyNumberFormat="1"/>
    <xf numFmtId="171" fontId="0" fillId="13" borderId="0" xfId="0" applyNumberFormat="1" applyFill="1"/>
    <xf numFmtId="166" fontId="23" fillId="0" borderId="0" xfId="1" applyFont="1"/>
    <xf numFmtId="166" fontId="0" fillId="14" borderId="0" xfId="1" applyFont="1" applyFill="1"/>
    <xf numFmtId="166" fontId="22" fillId="0" borderId="0" xfId="1" applyFont="1"/>
    <xf numFmtId="166" fontId="22" fillId="14" borderId="0" xfId="1" applyFont="1" applyFill="1"/>
    <xf numFmtId="166" fontId="24" fillId="14" borderId="0" xfId="1" applyFont="1" applyFill="1"/>
    <xf numFmtId="166" fontId="25" fillId="14" borderId="0" xfId="1" applyFont="1" applyFill="1"/>
    <xf numFmtId="166" fontId="23" fillId="14" borderId="0" xfId="1" applyFont="1" applyFill="1"/>
    <xf numFmtId="0" fontId="23" fillId="7" borderId="0" xfId="0" applyFont="1" applyFill="1"/>
    <xf numFmtId="171" fontId="0" fillId="15" borderId="0" xfId="0" applyNumberFormat="1" applyFill="1"/>
    <xf numFmtId="166" fontId="23" fillId="7" borderId="0" xfId="1" applyFont="1" applyFill="1"/>
    <xf numFmtId="166" fontId="22" fillId="7" borderId="0" xfId="1" applyFont="1" applyFill="1"/>
    <xf numFmtId="166" fontId="26" fillId="7" borderId="0" xfId="1" applyFont="1" applyFill="1"/>
    <xf numFmtId="166" fontId="24" fillId="7" borderId="0" xfId="1" applyFont="1" applyFill="1"/>
    <xf numFmtId="166" fontId="0" fillId="7" borderId="0" xfId="1" applyFont="1" applyFill="1"/>
    <xf numFmtId="166" fontId="25" fillId="0" borderId="0" xfId="1" applyFont="1"/>
    <xf numFmtId="166" fontId="24" fillId="0" borderId="0" xfId="1" applyFont="1"/>
    <xf numFmtId="170" fontId="0" fillId="3" borderId="0" xfId="1" applyNumberFormat="1" applyFont="1" applyFill="1"/>
    <xf numFmtId="167" fontId="0" fillId="3" borderId="0" xfId="3" applyNumberFormat="1" applyFont="1" applyFill="1"/>
    <xf numFmtId="170" fontId="0" fillId="9" borderId="0" xfId="1" applyNumberFormat="1" applyFont="1" applyFill="1"/>
    <xf numFmtId="167" fontId="0" fillId="9" borderId="0" xfId="3" applyNumberFormat="1" applyFont="1" applyFill="1"/>
    <xf numFmtId="6" fontId="0" fillId="6" borderId="16" xfId="0" applyNumberFormat="1" applyFill="1" applyBorder="1"/>
    <xf numFmtId="167" fontId="0" fillId="6" borderId="16" xfId="3" applyNumberFormat="1" applyFont="1" applyFill="1" applyBorder="1"/>
    <xf numFmtId="169" fontId="0" fillId="3" borderId="17" xfId="2" applyNumberFormat="1" applyFont="1" applyFill="1" applyBorder="1"/>
    <xf numFmtId="167" fontId="0" fillId="3" borderId="17" xfId="3" applyNumberFormat="1" applyFont="1" applyFill="1" applyBorder="1"/>
    <xf numFmtId="0" fontId="0" fillId="9" borderId="17" xfId="0" applyFill="1" applyBorder="1"/>
    <xf numFmtId="169" fontId="0" fillId="10" borderId="17" xfId="2" applyNumberFormat="1" applyFont="1" applyFill="1" applyBorder="1"/>
    <xf numFmtId="167" fontId="0" fillId="10" borderId="17" xfId="3" applyNumberFormat="1" applyFont="1" applyFill="1" applyBorder="1"/>
    <xf numFmtId="169" fontId="0" fillId="9" borderId="0" xfId="2" applyNumberFormat="1" applyFont="1" applyFill="1" applyBorder="1"/>
    <xf numFmtId="170" fontId="0" fillId="9" borderId="17" xfId="1" applyNumberFormat="1" applyFont="1" applyFill="1" applyBorder="1"/>
    <xf numFmtId="167" fontId="0" fillId="9" borderId="17" xfId="3" applyNumberFormat="1" applyFont="1" applyFill="1" applyBorder="1"/>
    <xf numFmtId="170" fontId="0" fillId="10" borderId="17" xfId="0" applyNumberFormat="1" applyFill="1" applyBorder="1"/>
    <xf numFmtId="8" fontId="0" fillId="6" borderId="0" xfId="0" applyNumberFormat="1" applyFill="1"/>
    <xf numFmtId="167" fontId="0" fillId="10" borderId="6" xfId="3" applyNumberFormat="1" applyFont="1" applyFill="1" applyBorder="1"/>
    <xf numFmtId="169" fontId="0" fillId="9" borderId="17" xfId="2" applyNumberFormat="1" applyFont="1" applyFill="1" applyBorder="1"/>
    <xf numFmtId="172" fontId="0" fillId="9" borderId="17" xfId="0" applyNumberFormat="1" applyFill="1" applyBorder="1"/>
    <xf numFmtId="0" fontId="9" fillId="5" borderId="12" xfId="4" applyFont="1" applyFill="1" applyBorder="1" applyAlignment="1">
      <alignment wrapText="1"/>
    </xf>
    <xf numFmtId="169" fontId="1" fillId="0" borderId="0" xfId="4" applyNumberFormat="1"/>
    <xf numFmtId="169" fontId="1" fillId="0" borderId="12" xfId="4" applyNumberFormat="1" applyBorder="1"/>
    <xf numFmtId="168" fontId="3" fillId="0" borderId="12" xfId="2" applyFont="1" applyBorder="1" applyAlignment="1">
      <alignment wrapText="1"/>
    </xf>
    <xf numFmtId="0" fontId="3" fillId="0" borderId="12" xfId="4" applyFont="1" applyBorder="1" applyAlignment="1">
      <alignment horizontal="left" wrapText="1"/>
    </xf>
    <xf numFmtId="0" fontId="9" fillId="0" borderId="12" xfId="4" applyFont="1" applyBorder="1" applyAlignment="1">
      <alignment horizontal="left" vertical="top"/>
    </xf>
    <xf numFmtId="0" fontId="9" fillId="0" borderId="12" xfId="4" applyFont="1" applyBorder="1" applyAlignment="1">
      <alignment horizontal="left" wrapText="1"/>
    </xf>
    <xf numFmtId="6" fontId="0" fillId="0" borderId="0" xfId="3" applyNumberFormat="1" applyFont="1"/>
    <xf numFmtId="168" fontId="0" fillId="0" borderId="0" xfId="2" applyFont="1"/>
    <xf numFmtId="0" fontId="9" fillId="5" borderId="12" xfId="4" applyFont="1" applyFill="1" applyBorder="1" applyAlignment="1">
      <alignment horizontal="left" wrapText="1"/>
    </xf>
    <xf numFmtId="169" fontId="9" fillId="0" borderId="12" xfId="2" applyNumberFormat="1" applyFont="1" applyBorder="1"/>
    <xf numFmtId="0" fontId="1" fillId="0" borderId="0" xfId="4" applyAlignment="1">
      <alignment vertical="top"/>
    </xf>
    <xf numFmtId="0" fontId="9" fillId="3" borderId="8" xfId="4" applyFont="1" applyFill="1" applyBorder="1" applyAlignment="1">
      <alignment wrapText="1"/>
    </xf>
    <xf numFmtId="0" fontId="9" fillId="3" borderId="8" xfId="4" applyFont="1" applyFill="1" applyBorder="1" applyAlignment="1">
      <alignment horizontal="center" wrapText="1"/>
    </xf>
    <xf numFmtId="0" fontId="9" fillId="3" borderId="9" xfId="4" applyFont="1" applyFill="1" applyBorder="1" applyAlignment="1">
      <alignment wrapText="1"/>
    </xf>
    <xf numFmtId="0" fontId="9" fillId="3" borderId="10" xfId="4" applyFont="1" applyFill="1" applyBorder="1" applyAlignment="1">
      <alignment wrapText="1"/>
    </xf>
    <xf numFmtId="0" fontId="9" fillId="3" borderId="2" xfId="4" applyFont="1" applyFill="1" applyBorder="1" applyAlignment="1">
      <alignment wrapText="1"/>
    </xf>
    <xf numFmtId="0" fontId="9" fillId="3" borderId="11" xfId="4" applyFont="1" applyFill="1" applyBorder="1"/>
    <xf numFmtId="0" fontId="3" fillId="0" borderId="12" xfId="4" applyFont="1" applyBorder="1" applyAlignment="1">
      <alignment wrapText="1"/>
    </xf>
    <xf numFmtId="0" fontId="3" fillId="0" borderId="12" xfId="4" applyFont="1" applyBorder="1"/>
    <xf numFmtId="0" fontId="1" fillId="0" borderId="14" xfId="4" applyBorder="1" applyAlignment="1">
      <alignment vertical="top"/>
    </xf>
    <xf numFmtId="6" fontId="3" fillId="4" borderId="12" xfId="4" applyNumberFormat="1" applyFont="1" applyFill="1" applyBorder="1" applyAlignment="1">
      <alignment wrapText="1"/>
    </xf>
    <xf numFmtId="165" fontId="3" fillId="0" borderId="0" xfId="6" applyNumberFormat="1" applyFont="1"/>
    <xf numFmtId="169" fontId="3" fillId="0" borderId="12" xfId="2" applyNumberFormat="1" applyFont="1" applyBorder="1" applyAlignment="1">
      <alignment wrapText="1"/>
    </xf>
    <xf numFmtId="6" fontId="9" fillId="5" borderId="12" xfId="4" applyNumberFormat="1" applyFont="1" applyFill="1" applyBorder="1" applyAlignment="1">
      <alignment wrapText="1"/>
    </xf>
    <xf numFmtId="0" fontId="9" fillId="0" borderId="0" xfId="4" applyFont="1"/>
    <xf numFmtId="169" fontId="9" fillId="5" borderId="12" xfId="4" applyNumberFormat="1" applyFont="1" applyFill="1" applyBorder="1" applyAlignment="1">
      <alignment wrapText="1"/>
    </xf>
    <xf numFmtId="169" fontId="3" fillId="0" borderId="12" xfId="4" applyNumberFormat="1" applyFont="1" applyBorder="1"/>
    <xf numFmtId="8" fontId="1" fillId="0" borderId="0" xfId="4" applyNumberFormat="1"/>
    <xf numFmtId="170" fontId="3" fillId="4" borderId="12" xfId="1" applyNumberFormat="1" applyFont="1" applyFill="1" applyBorder="1" applyAlignment="1">
      <alignment wrapText="1"/>
    </xf>
    <xf numFmtId="6" fontId="1" fillId="0" borderId="0" xfId="4" applyNumberFormat="1"/>
    <xf numFmtId="164" fontId="9" fillId="5" borderId="12" xfId="5" applyNumberFormat="1" applyFont="1" applyFill="1" applyBorder="1" applyAlignment="1">
      <alignment wrapText="1"/>
    </xf>
    <xf numFmtId="3" fontId="3" fillId="0" borderId="12" xfId="4" applyNumberFormat="1" applyFont="1" applyBorder="1" applyAlignment="1">
      <alignment wrapText="1"/>
    </xf>
    <xf numFmtId="169" fontId="3" fillId="0" borderId="12" xfId="4" applyNumberFormat="1" applyFont="1" applyBorder="1" applyAlignment="1">
      <alignment wrapText="1"/>
    </xf>
    <xf numFmtId="169" fontId="1" fillId="0" borderId="0" xfId="2" applyNumberFormat="1" applyFont="1"/>
    <xf numFmtId="169" fontId="1" fillId="4" borderId="0" xfId="2" applyNumberFormat="1" applyFont="1" applyFill="1"/>
    <xf numFmtId="168" fontId="1" fillId="0" borderId="0" xfId="2" applyFont="1"/>
    <xf numFmtId="0" fontId="1" fillId="4" borderId="0" xfId="4" applyFill="1"/>
    <xf numFmtId="169" fontId="1" fillId="4" borderId="0" xfId="4" applyNumberFormat="1" applyFill="1"/>
    <xf numFmtId="168" fontId="1" fillId="0" borderId="0" xfId="4" applyNumberFormat="1"/>
    <xf numFmtId="169" fontId="3" fillId="4" borderId="12" xfId="2" applyNumberFormat="1" applyFont="1" applyFill="1" applyBorder="1" applyAlignment="1">
      <alignment wrapText="1"/>
    </xf>
    <xf numFmtId="6" fontId="9" fillId="5" borderId="15" xfId="4" applyNumberFormat="1" applyFont="1" applyFill="1" applyBorder="1" applyAlignment="1">
      <alignment wrapText="1"/>
    </xf>
    <xf numFmtId="169" fontId="1" fillId="0" borderId="0" xfId="3" applyNumberFormat="1" applyFont="1"/>
    <xf numFmtId="9" fontId="1" fillId="0" borderId="0" xfId="3" applyFont="1"/>
    <xf numFmtId="43" fontId="1" fillId="0" borderId="0" xfId="4" applyNumberFormat="1"/>
    <xf numFmtId="169" fontId="3" fillId="0" borderId="12" xfId="2" applyNumberFormat="1" applyFont="1" applyBorder="1"/>
    <xf numFmtId="3" fontId="1" fillId="0" borderId="0" xfId="4" applyNumberFormat="1"/>
    <xf numFmtId="0" fontId="1" fillId="0" borderId="11" xfId="4" applyBorder="1" applyAlignment="1">
      <alignment vertical="top"/>
    </xf>
    <xf numFmtId="10" fontId="1" fillId="0" borderId="0" xfId="3" applyNumberFormat="1" applyFont="1"/>
    <xf numFmtId="0" fontId="9" fillId="0" borderId="12" xfId="4" applyFont="1" applyBorder="1"/>
    <xf numFmtId="169" fontId="4" fillId="0" borderId="12" xfId="4" applyNumberFormat="1" applyFont="1" applyBorder="1"/>
    <xf numFmtId="0" fontId="3" fillId="5" borderId="12" xfId="4" applyFont="1" applyFill="1" applyBorder="1" applyAlignment="1">
      <alignment wrapText="1"/>
    </xf>
    <xf numFmtId="169" fontId="4" fillId="5" borderId="12" xfId="4" applyNumberFormat="1" applyFont="1" applyFill="1" applyBorder="1" applyAlignment="1">
      <alignment wrapText="1"/>
    </xf>
    <xf numFmtId="0" fontId="3" fillId="6" borderId="0" xfId="4" applyFont="1" applyFill="1" applyAlignment="1">
      <alignment horizontal="center" vertical="center" wrapText="1"/>
    </xf>
    <xf numFmtId="0" fontId="3" fillId="3" borderId="0" xfId="4" applyFont="1" applyFill="1" applyAlignment="1">
      <alignment horizontal="center" wrapText="1"/>
    </xf>
    <xf numFmtId="0" fontId="3" fillId="9" borderId="0" xfId="4" applyFont="1" applyFill="1" applyAlignment="1">
      <alignment horizontal="center" wrapText="1"/>
    </xf>
    <xf numFmtId="0" fontId="0" fillId="10" borderId="0" xfId="0" applyFill="1" applyAlignment="1">
      <alignment horizontal="center"/>
    </xf>
  </cellXfs>
  <cellStyles count="8">
    <cellStyle name="Comma" xfId="1" builtinId="3"/>
    <cellStyle name="Comma 2" xfId="6" xr:uid="{E2459B21-FBCE-44AF-8ADE-F263E5FBFE73}"/>
    <cellStyle name="Currency" xfId="2" builtinId="4"/>
    <cellStyle name="Currency 2" xfId="5" xr:uid="{6CE09471-8827-434D-8244-A0E9A8D169E9}"/>
    <cellStyle name="Normal" xfId="0" builtinId="0"/>
    <cellStyle name="Normal 2" xfId="4" xr:uid="{01DAD8A6-11BF-4ADF-A5D8-3D2C0683EACB}"/>
    <cellStyle name="Percent" xfId="3" builtinId="5"/>
    <cellStyle name="Percent 2" xfId="7" xr:uid="{AB9D605A-B586-4A6D-8B54-DD136B379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ura Geurink" id="{114873E5-31EA-40C4-A6B5-B68DBF96486F}" userId="S::laura.geurink@wedc.org::484ef573-4418-44be-9f35-f91f73e7c5cc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Y14" dT="2024-04-18T15:25:04.00" personId="{114873E5-31EA-40C4-A6B5-B68DBF96486F}" id="{177D0436-E368-4254-A909-E334BF04010C}">
    <text>4/18/24 per Miko, PTO sellback does not have WRS taken - removed from calc.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B5B23-6F77-46E3-8AB6-0C1A357A892B}">
  <sheetPr>
    <tabColor theme="0"/>
    <pageSetUpPr fitToPage="1"/>
  </sheetPr>
  <dimension ref="B1:AN80"/>
  <sheetViews>
    <sheetView showGridLines="0" tabSelected="1" zoomScale="85" zoomScaleNormal="85" workbookViewId="0">
      <pane xSplit="3" ySplit="7" topLeftCell="D21" activePane="bottomRight" state="frozen"/>
      <selection pane="topRight" activeCell="D1" sqref="D1"/>
      <selection pane="bottomLeft" activeCell="A6" sqref="A6"/>
      <selection pane="bottomRight" activeCell="J11" sqref="J11"/>
    </sheetView>
  </sheetViews>
  <sheetFormatPr defaultColWidth="30.1796875" defaultRowHeight="38.5" customHeight="1" outlineLevelRow="1" outlineLevelCol="1" x14ac:dyDescent="0.35"/>
  <cols>
    <col min="1" max="2" width="30.1796875" style="1"/>
    <col min="3" max="3" width="33.81640625" style="2" customWidth="1"/>
    <col min="4" max="4" width="17.26953125" style="3" bestFit="1" customWidth="1"/>
    <col min="5" max="5" width="16.453125" style="4" customWidth="1"/>
    <col min="6" max="6" width="16.1796875" style="1" bestFit="1" customWidth="1"/>
    <col min="7" max="7" width="16.7265625" style="1" bestFit="1" customWidth="1"/>
    <col min="8" max="8" width="19.453125" style="4" bestFit="1" customWidth="1"/>
    <col min="9" max="9" width="11.7265625" style="5" customWidth="1"/>
    <col min="10" max="11" width="30.1796875" style="1"/>
    <col min="12" max="12" width="0" style="1" hidden="1" customWidth="1" outlineLevel="1"/>
    <col min="13" max="13" width="30.1796875" style="1" collapsed="1"/>
    <col min="14" max="16384" width="30.1796875" style="1"/>
  </cols>
  <sheetData>
    <row r="1" spans="2:40" ht="14.5" customHeight="1" x14ac:dyDescent="0.35">
      <c r="B1" s="32"/>
      <c r="D1" s="131"/>
      <c r="F1" s="32"/>
      <c r="G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2:40" ht="38.5" customHeight="1" x14ac:dyDescent="0.55000000000000004">
      <c r="B2" s="6" t="s">
        <v>0</v>
      </c>
      <c r="D2" s="131"/>
      <c r="F2" s="32"/>
      <c r="G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2:40" ht="38.5" hidden="1" customHeight="1" outlineLevel="1" x14ac:dyDescent="0.35">
      <c r="B3" s="7" t="s">
        <v>1</v>
      </c>
      <c r="D3" s="131"/>
      <c r="F3" s="32"/>
      <c r="G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</row>
    <row r="4" spans="2:40" ht="38.5" customHeight="1" collapsed="1" x14ac:dyDescent="0.35">
      <c r="B4" s="7"/>
      <c r="D4" s="131"/>
      <c r="F4" s="32"/>
      <c r="G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</row>
    <row r="5" spans="2:40" ht="38.5" customHeight="1" x14ac:dyDescent="0.45">
      <c r="B5" s="8" t="s">
        <v>2</v>
      </c>
      <c r="C5" s="9"/>
      <c r="D5" s="10"/>
      <c r="E5" s="10"/>
      <c r="F5" s="10"/>
      <c r="G5" s="10"/>
      <c r="H5" s="10"/>
      <c r="I5" s="10"/>
      <c r="J5" s="11"/>
      <c r="K5" s="32"/>
      <c r="L5" s="12" t="s">
        <v>3</v>
      </c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</row>
    <row r="6" spans="2:40" ht="38.5" customHeight="1" x14ac:dyDescent="0.45">
      <c r="B6" s="13"/>
      <c r="C6" s="14"/>
      <c r="D6" s="15" t="s">
        <v>4</v>
      </c>
      <c r="E6" s="15" t="s">
        <v>5</v>
      </c>
      <c r="F6" s="15" t="s">
        <v>6</v>
      </c>
      <c r="G6" s="15" t="s">
        <v>7</v>
      </c>
      <c r="H6" s="15" t="s">
        <v>8</v>
      </c>
      <c r="I6" s="10"/>
      <c r="J6" s="16"/>
      <c r="K6" s="32"/>
      <c r="L6" s="1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</row>
    <row r="7" spans="2:40" ht="38.5" customHeight="1" x14ac:dyDescent="0.35">
      <c r="B7" s="17" t="s">
        <v>9</v>
      </c>
      <c r="C7" s="132" t="s">
        <v>10</v>
      </c>
      <c r="D7" s="133" t="s">
        <v>11</v>
      </c>
      <c r="E7" s="134" t="s">
        <v>12</v>
      </c>
      <c r="F7" s="134" t="s">
        <v>13</v>
      </c>
      <c r="G7" s="134" t="s">
        <v>14</v>
      </c>
      <c r="H7" s="135" t="s">
        <v>15</v>
      </c>
      <c r="I7" s="136"/>
      <c r="J7" s="137" t="s">
        <v>16</v>
      </c>
      <c r="K7" s="32"/>
      <c r="L7" s="18" t="s">
        <v>17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</row>
    <row r="8" spans="2:40" s="7" customFormat="1" ht="38.5" customHeight="1" outlineLevel="1" x14ac:dyDescent="0.35">
      <c r="B8" s="19" t="s">
        <v>18</v>
      </c>
      <c r="C8" s="125" t="s">
        <v>19</v>
      </c>
      <c r="D8" s="138" t="s">
        <v>20</v>
      </c>
      <c r="E8" s="138" t="s">
        <v>20</v>
      </c>
      <c r="F8" s="138" t="s">
        <v>20</v>
      </c>
      <c r="G8" s="138"/>
      <c r="H8" s="138" t="s">
        <v>20</v>
      </c>
      <c r="I8" s="2"/>
      <c r="J8" s="139" t="s">
        <v>20</v>
      </c>
      <c r="K8" s="32"/>
      <c r="L8" s="20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</row>
    <row r="9" spans="2:40" ht="43.5" outlineLevel="1" x14ac:dyDescent="0.35">
      <c r="B9" s="140"/>
      <c r="C9" s="37" t="s">
        <v>21</v>
      </c>
      <c r="D9" s="141">
        <v>89250</v>
      </c>
      <c r="E9" s="141">
        <v>91927.01</v>
      </c>
      <c r="F9" s="141">
        <v>94685.324999999997</v>
      </c>
      <c r="G9" s="141">
        <v>97525.884749999997</v>
      </c>
      <c r="H9" s="141">
        <v>100451.66129249999</v>
      </c>
      <c r="I9" s="142"/>
      <c r="J9" s="143">
        <f>+SUM(D9:H9)</f>
        <v>473839.88104250003</v>
      </c>
      <c r="K9" s="32"/>
      <c r="L9" s="21" t="s">
        <v>22</v>
      </c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</row>
    <row r="10" spans="2:40" ht="42" customHeight="1" outlineLevel="1" x14ac:dyDescent="0.35">
      <c r="B10" s="140"/>
      <c r="C10" s="38" t="s">
        <v>23</v>
      </c>
      <c r="D10" s="141">
        <v>90900</v>
      </c>
      <c r="E10" s="141">
        <v>93627</v>
      </c>
      <c r="F10" s="141">
        <v>96435.81</v>
      </c>
      <c r="G10" s="141">
        <v>99328.884300000005</v>
      </c>
      <c r="H10" s="141">
        <v>102308.75082900001</v>
      </c>
      <c r="I10" s="142"/>
      <c r="J10" s="143">
        <f t="shared" ref="J10:J11" si="0">+SUM(D10:H10)</f>
        <v>482600.445129</v>
      </c>
      <c r="K10" s="32"/>
      <c r="L10" s="21" t="s">
        <v>22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</row>
    <row r="11" spans="2:40" ht="58" outlineLevel="1" x14ac:dyDescent="0.35">
      <c r="B11" s="140"/>
      <c r="C11" s="38" t="s">
        <v>24</v>
      </c>
      <c r="D11" s="141">
        <v>0</v>
      </c>
      <c r="E11" s="141">
        <v>80000</v>
      </c>
      <c r="F11" s="141">
        <v>82400</v>
      </c>
      <c r="G11" s="141">
        <v>84872</v>
      </c>
      <c r="H11" s="141">
        <v>87418.16</v>
      </c>
      <c r="I11" s="142"/>
      <c r="J11" s="143">
        <f t="shared" si="0"/>
        <v>334690.16000000003</v>
      </c>
      <c r="K11" s="32"/>
      <c r="L11" s="21" t="s">
        <v>25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</row>
    <row r="12" spans="2:40" ht="38.5" customHeight="1" outlineLevel="1" x14ac:dyDescent="0.35">
      <c r="B12" s="140"/>
      <c r="C12" s="129" t="s">
        <v>26</v>
      </c>
      <c r="D12" s="144">
        <f>SUM(D9:D11)</f>
        <v>180150</v>
      </c>
      <c r="E12" s="144">
        <f t="shared" ref="E12:H12" si="1">SUM(E9:E11)</f>
        <v>265554.01</v>
      </c>
      <c r="F12" s="144">
        <f t="shared" si="1"/>
        <v>273521.13500000001</v>
      </c>
      <c r="G12" s="144">
        <f t="shared" si="1"/>
        <v>281726.76905</v>
      </c>
      <c r="H12" s="144">
        <f t="shared" si="1"/>
        <v>290178.57212150004</v>
      </c>
      <c r="I12" s="145"/>
      <c r="J12" s="146">
        <f>+SUM(D12:H12)</f>
        <v>1291130.4861715001</v>
      </c>
      <c r="K12" s="32"/>
      <c r="L12" s="2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</row>
    <row r="13" spans="2:40" ht="38.5" customHeight="1" outlineLevel="1" x14ac:dyDescent="0.35">
      <c r="B13" s="140"/>
      <c r="C13" s="126" t="s">
        <v>27</v>
      </c>
      <c r="D13" s="138" t="s">
        <v>20</v>
      </c>
      <c r="E13" s="138"/>
      <c r="F13" s="138"/>
      <c r="G13" s="138"/>
      <c r="H13" s="138"/>
      <c r="I13" s="2"/>
      <c r="J13" s="147" t="s">
        <v>20</v>
      </c>
      <c r="K13" s="32"/>
      <c r="L13" s="20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40" ht="50.5" customHeight="1" outlineLevel="1" x14ac:dyDescent="0.35">
      <c r="B14" s="140"/>
      <c r="C14" s="37" t="s">
        <v>28</v>
      </c>
      <c r="D14" s="141">
        <v>31097.458280716241</v>
      </c>
      <c r="E14" s="141">
        <v>31265.177230000001</v>
      </c>
      <c r="F14" s="141">
        <v>32203.1325469</v>
      </c>
      <c r="G14" s="141">
        <v>33169.226523306999</v>
      </c>
      <c r="H14" s="141">
        <v>34164.30331900622</v>
      </c>
      <c r="I14" s="142"/>
      <c r="J14" s="143">
        <f>SUM(D14:H14)</f>
        <v>161899.29789992946</v>
      </c>
      <c r="K14" s="32"/>
      <c r="L14" s="21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</row>
    <row r="15" spans="2:40" ht="44.5" customHeight="1" outlineLevel="1" x14ac:dyDescent="0.35">
      <c r="B15" s="140"/>
      <c r="C15" s="38" t="s">
        <v>29</v>
      </c>
      <c r="D15" s="141">
        <v>39188.265933399998</v>
      </c>
      <c r="E15" s="141">
        <v>39556.459899999994</v>
      </c>
      <c r="F15" s="141">
        <v>40743.153697000002</v>
      </c>
      <c r="G15" s="141">
        <v>41965.448307909995</v>
      </c>
      <c r="H15" s="141">
        <v>43224.411757147296</v>
      </c>
      <c r="I15" s="142"/>
      <c r="J15" s="143">
        <f t="shared" ref="J15:J16" si="2">SUM(D15:H15)</f>
        <v>204677.73959545727</v>
      </c>
      <c r="K15" s="32"/>
      <c r="L15" s="21"/>
      <c r="M15" s="148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</row>
    <row r="16" spans="2:40" ht="38.5" customHeight="1" outlineLevel="1" x14ac:dyDescent="0.35">
      <c r="B16" s="140"/>
      <c r="C16" s="38" t="s">
        <v>30</v>
      </c>
      <c r="D16" s="141">
        <v>0</v>
      </c>
      <c r="E16" s="149">
        <v>37590.470599999993</v>
      </c>
      <c r="F16" s="141">
        <v>38718.184717999997</v>
      </c>
      <c r="G16" s="141">
        <v>39879.730259539996</v>
      </c>
      <c r="H16" s="141">
        <v>41076.122167326197</v>
      </c>
      <c r="I16" s="142"/>
      <c r="J16" s="143">
        <f t="shared" si="2"/>
        <v>157264.50774486619</v>
      </c>
      <c r="K16" s="150"/>
      <c r="L16" s="21"/>
      <c r="M16" s="148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</row>
    <row r="17" spans="2:15" ht="38.5" customHeight="1" outlineLevel="1" x14ac:dyDescent="0.35">
      <c r="B17" s="140"/>
      <c r="C17" s="129" t="s">
        <v>31</v>
      </c>
      <c r="D17" s="151">
        <f>SUM(D14:D16)</f>
        <v>70285.724214116242</v>
      </c>
      <c r="E17" s="151">
        <f t="shared" ref="E17:H17" si="3">SUM(E14:E16)</f>
        <v>108412.10772999999</v>
      </c>
      <c r="F17" s="151">
        <f t="shared" si="3"/>
        <v>111664.47096189999</v>
      </c>
      <c r="G17" s="151">
        <f t="shared" si="3"/>
        <v>115014.40509075699</v>
      </c>
      <c r="H17" s="151">
        <f t="shared" si="3"/>
        <v>118464.83724347971</v>
      </c>
      <c r="I17" s="145"/>
      <c r="J17" s="146">
        <f>SUM(J14:J16)</f>
        <v>523841.54524025292</v>
      </c>
      <c r="K17" s="32"/>
      <c r="L17" s="23"/>
      <c r="M17" s="32"/>
      <c r="N17" s="32"/>
      <c r="O17" s="32"/>
    </row>
    <row r="18" spans="2:15" ht="38.5" customHeight="1" x14ac:dyDescent="0.35">
      <c r="B18" s="140"/>
      <c r="C18" s="126" t="s">
        <v>32</v>
      </c>
      <c r="D18" s="138" t="s">
        <v>20</v>
      </c>
      <c r="E18" s="138"/>
      <c r="F18" s="138"/>
      <c r="G18" s="138"/>
      <c r="H18" s="138"/>
      <c r="I18" s="2"/>
      <c r="J18" s="147" t="s">
        <v>20</v>
      </c>
      <c r="K18" s="32"/>
      <c r="L18" s="24"/>
      <c r="M18" s="32"/>
      <c r="N18" s="32"/>
      <c r="O18" s="32"/>
    </row>
    <row r="19" spans="2:15" ht="71.150000000000006" customHeight="1" x14ac:dyDescent="0.35">
      <c r="B19" s="140"/>
      <c r="C19" s="124" t="s">
        <v>33</v>
      </c>
      <c r="D19" s="152"/>
      <c r="E19" s="152"/>
      <c r="F19" s="152"/>
      <c r="G19" s="152"/>
      <c r="H19" s="152"/>
      <c r="I19" s="2"/>
      <c r="J19" s="153"/>
      <c r="K19" s="32"/>
      <c r="L19" s="21" t="s">
        <v>34</v>
      </c>
      <c r="M19" s="32"/>
      <c r="N19" s="32"/>
      <c r="O19" s="32"/>
    </row>
    <row r="20" spans="2:15" ht="38.5" customHeight="1" x14ac:dyDescent="0.35">
      <c r="B20" s="140"/>
      <c r="C20" s="55" t="s">
        <v>35</v>
      </c>
      <c r="D20" s="141">
        <v>0</v>
      </c>
      <c r="E20" s="141">
        <v>1268</v>
      </c>
      <c r="F20" s="141">
        <v>1305.98</v>
      </c>
      <c r="G20" s="141">
        <v>1345.0994000000001</v>
      </c>
      <c r="H20" s="141">
        <v>1385.392382</v>
      </c>
      <c r="I20" s="2"/>
      <c r="J20" s="143">
        <f>+SUM(D20:H20)</f>
        <v>5304.4717820000005</v>
      </c>
      <c r="K20" s="154"/>
      <c r="L20" s="25"/>
      <c r="M20" s="32"/>
      <c r="N20" s="154"/>
      <c r="O20" s="154"/>
    </row>
    <row r="21" spans="2:15" ht="38.5" customHeight="1" x14ac:dyDescent="0.35">
      <c r="B21" s="140"/>
      <c r="C21" s="55" t="s">
        <v>36</v>
      </c>
      <c r="D21" s="141">
        <v>0</v>
      </c>
      <c r="E21" s="141">
        <v>758.08</v>
      </c>
      <c r="F21" s="141">
        <v>780.82240000000002</v>
      </c>
      <c r="G21" s="141">
        <v>804.247072</v>
      </c>
      <c r="H21" s="141">
        <v>828.37448416000007</v>
      </c>
      <c r="I21" s="2"/>
      <c r="J21" s="143">
        <f t="shared" ref="J21:J31" si="4">+SUM(D21:H21)</f>
        <v>3171.5239561600001</v>
      </c>
      <c r="K21" s="154"/>
      <c r="L21" s="123"/>
      <c r="M21" s="155"/>
      <c r="N21" s="156"/>
      <c r="O21" s="156"/>
    </row>
    <row r="22" spans="2:15" ht="38.5" customHeight="1" x14ac:dyDescent="0.35">
      <c r="B22" s="140"/>
      <c r="C22" s="55" t="s">
        <v>37</v>
      </c>
      <c r="D22" s="141">
        <v>0</v>
      </c>
      <c r="E22" s="141">
        <v>1180.3800000000001</v>
      </c>
      <c r="F22" s="141">
        <v>1215.7914000000001</v>
      </c>
      <c r="G22" s="141">
        <v>1252.2651420000002</v>
      </c>
      <c r="H22" s="141">
        <v>1289.8330962600003</v>
      </c>
      <c r="I22" s="2"/>
      <c r="J22" s="143">
        <f t="shared" si="4"/>
        <v>4938.2696382600006</v>
      </c>
      <c r="K22" s="154"/>
      <c r="L22" s="25"/>
      <c r="M22" s="155"/>
      <c r="N22" s="154"/>
      <c r="O22" s="154"/>
    </row>
    <row r="23" spans="2:15" ht="54.75" customHeight="1" x14ac:dyDescent="0.35">
      <c r="B23" s="140"/>
      <c r="C23" s="46" t="s">
        <v>38</v>
      </c>
      <c r="D23" s="141"/>
      <c r="E23" s="141"/>
      <c r="F23" s="141"/>
      <c r="G23" s="141"/>
      <c r="H23" s="141"/>
      <c r="I23" s="2"/>
      <c r="J23" s="143"/>
      <c r="K23" s="121"/>
      <c r="L23" s="21"/>
      <c r="M23" s="157"/>
      <c r="N23" s="32"/>
      <c r="O23" s="32"/>
    </row>
    <row r="24" spans="2:15" ht="38.5" customHeight="1" x14ac:dyDescent="0.35">
      <c r="B24" s="140"/>
      <c r="C24" s="55" t="s">
        <v>39</v>
      </c>
      <c r="D24" s="141">
        <v>0</v>
      </c>
      <c r="E24" s="141">
        <v>819.88</v>
      </c>
      <c r="F24" s="141">
        <v>844.47640000000001</v>
      </c>
      <c r="G24" s="141">
        <v>869.81069200000002</v>
      </c>
      <c r="H24" s="141">
        <v>895.90501276000009</v>
      </c>
      <c r="I24" s="2"/>
      <c r="J24" s="143">
        <f t="shared" si="4"/>
        <v>3430.07210476</v>
      </c>
      <c r="K24" s="158"/>
      <c r="L24" s="21"/>
      <c r="M24" s="156"/>
      <c r="N24" s="32"/>
      <c r="O24" s="32"/>
    </row>
    <row r="25" spans="2:15" ht="38.5" customHeight="1" x14ac:dyDescent="0.35">
      <c r="B25" s="140"/>
      <c r="C25" s="55" t="s">
        <v>40</v>
      </c>
      <c r="D25" s="141">
        <v>0</v>
      </c>
      <c r="E25" s="141">
        <v>568.56000000000006</v>
      </c>
      <c r="F25" s="141">
        <v>585.61680000000013</v>
      </c>
      <c r="G25" s="141">
        <v>603.1853040000002</v>
      </c>
      <c r="H25" s="141">
        <v>621.28086312000028</v>
      </c>
      <c r="I25" s="2"/>
      <c r="J25" s="143">
        <f t="shared" si="4"/>
        <v>2378.6429671200003</v>
      </c>
      <c r="K25" s="32"/>
      <c r="L25" s="21"/>
      <c r="M25" s="156"/>
      <c r="N25" s="32"/>
      <c r="O25" s="32"/>
    </row>
    <row r="26" spans="2:15" ht="38.5" customHeight="1" x14ac:dyDescent="0.35">
      <c r="B26" s="140"/>
      <c r="C26" s="55" t="s">
        <v>41</v>
      </c>
      <c r="D26" s="141">
        <v>0</v>
      </c>
      <c r="E26" s="141">
        <v>1133</v>
      </c>
      <c r="F26" s="141">
        <v>1166.99</v>
      </c>
      <c r="G26" s="141">
        <v>1201.9997000000001</v>
      </c>
      <c r="H26" s="141">
        <v>1238.0596910000002</v>
      </c>
      <c r="I26" s="2"/>
      <c r="J26" s="143">
        <f t="shared" si="4"/>
        <v>4740.0493910000005</v>
      </c>
      <c r="K26" s="32"/>
      <c r="L26" s="21"/>
      <c r="M26" s="156"/>
      <c r="N26" s="32"/>
      <c r="O26" s="32"/>
    </row>
    <row r="27" spans="2:15" ht="53.15" customHeight="1" x14ac:dyDescent="0.35">
      <c r="B27" s="140"/>
      <c r="C27" s="46" t="s">
        <v>42</v>
      </c>
      <c r="D27" s="141"/>
      <c r="E27" s="141"/>
      <c r="F27" s="141"/>
      <c r="G27" s="141"/>
      <c r="H27" s="141"/>
      <c r="I27" s="2"/>
      <c r="J27" s="143"/>
      <c r="K27" s="32"/>
      <c r="L27" s="21"/>
      <c r="M27" s="159"/>
      <c r="N27" s="32"/>
      <c r="O27" s="32"/>
    </row>
    <row r="28" spans="2:15" ht="38.5" customHeight="1" x14ac:dyDescent="0.35">
      <c r="B28" s="140"/>
      <c r="C28" s="55" t="s">
        <v>43</v>
      </c>
      <c r="D28" s="141">
        <v>2800</v>
      </c>
      <c r="E28" s="141">
        <v>2884</v>
      </c>
      <c r="F28" s="141">
        <v>2970.52</v>
      </c>
      <c r="G28" s="141">
        <v>3059.6356000000001</v>
      </c>
      <c r="H28" s="141">
        <v>3151.4246680000001</v>
      </c>
      <c r="I28" s="2"/>
      <c r="J28" s="143">
        <f t="shared" si="4"/>
        <v>14865.580268</v>
      </c>
      <c r="K28" s="32"/>
      <c r="L28" s="21"/>
      <c r="M28" s="121"/>
      <c r="N28" s="32"/>
      <c r="O28" s="32"/>
    </row>
    <row r="29" spans="2:15" ht="38.5" customHeight="1" x14ac:dyDescent="0.35">
      <c r="B29" s="140"/>
      <c r="C29" s="55" t="s">
        <v>44</v>
      </c>
      <c r="D29" s="141">
        <v>2400</v>
      </c>
      <c r="E29" s="141">
        <v>2472</v>
      </c>
      <c r="F29" s="141">
        <v>2546.16</v>
      </c>
      <c r="G29" s="141">
        <v>2622.5448000000001</v>
      </c>
      <c r="H29" s="141">
        <v>2701.2211440000001</v>
      </c>
      <c r="I29" s="2"/>
      <c r="J29" s="143">
        <f t="shared" si="4"/>
        <v>12741.925943999999</v>
      </c>
      <c r="K29" s="32"/>
      <c r="L29" s="21"/>
      <c r="M29" s="121"/>
      <c r="N29" s="32"/>
      <c r="O29" s="32"/>
    </row>
    <row r="30" spans="2:15" ht="38.5" customHeight="1" x14ac:dyDescent="0.35">
      <c r="B30" s="140"/>
      <c r="C30" s="46" t="s">
        <v>45</v>
      </c>
      <c r="D30" s="141"/>
      <c r="E30" s="141"/>
      <c r="F30" s="141"/>
      <c r="G30" s="141"/>
      <c r="H30" s="141"/>
      <c r="I30" s="2"/>
      <c r="J30" s="143"/>
      <c r="K30" s="32"/>
      <c r="L30" s="21"/>
      <c r="M30" s="156"/>
      <c r="N30" s="32"/>
      <c r="O30" s="32"/>
    </row>
    <row r="31" spans="2:15" ht="38.5" customHeight="1" x14ac:dyDescent="0.35">
      <c r="B31" s="140"/>
      <c r="C31" s="55" t="s">
        <v>46</v>
      </c>
      <c r="D31" s="141">
        <v>3120</v>
      </c>
      <c r="E31" s="141">
        <v>3213.6</v>
      </c>
      <c r="F31" s="141">
        <v>3310.0079999999998</v>
      </c>
      <c r="G31" s="141">
        <v>3409.3082399999998</v>
      </c>
      <c r="H31" s="141">
        <v>3511.5874871999999</v>
      </c>
      <c r="I31" s="2"/>
      <c r="J31" s="143">
        <f t="shared" si="4"/>
        <v>16564.503727200001</v>
      </c>
      <c r="K31" s="32"/>
      <c r="L31" s="21"/>
      <c r="M31" s="160"/>
      <c r="N31" s="32"/>
      <c r="O31" s="32"/>
    </row>
    <row r="32" spans="2:15" ht="49" customHeight="1" x14ac:dyDescent="0.35">
      <c r="B32" s="140"/>
      <c r="C32" s="46" t="s">
        <v>47</v>
      </c>
      <c r="D32" s="141"/>
      <c r="E32" s="141"/>
      <c r="F32" s="141"/>
      <c r="G32" s="141"/>
      <c r="H32" s="141"/>
      <c r="I32" s="2"/>
      <c r="J32" s="143"/>
      <c r="K32" s="32"/>
      <c r="L32" s="21"/>
      <c r="M32" s="32"/>
      <c r="N32" s="32"/>
      <c r="O32" s="32"/>
    </row>
    <row r="33" spans="2:12" ht="38.5" customHeight="1" x14ac:dyDescent="0.35">
      <c r="B33" s="140"/>
      <c r="C33" s="129" t="s">
        <v>48</v>
      </c>
      <c r="D33" s="144">
        <f>SUM(D18:D32)</f>
        <v>8320</v>
      </c>
      <c r="E33" s="144">
        <f>SUM(E18:E32)</f>
        <v>14297.500000000002</v>
      </c>
      <c r="F33" s="144">
        <f>SUM(F18:F32)</f>
        <v>14726.365</v>
      </c>
      <c r="G33" s="144">
        <f>SUM(G18:G32)</f>
        <v>15168.095950000001</v>
      </c>
      <c r="H33" s="144">
        <f>SUM(H18:H32)</f>
        <v>15623.078828500004</v>
      </c>
      <c r="I33" s="145"/>
      <c r="J33" s="146">
        <f t="shared" ref="J33" si="5">+SUM(D33:H33)</f>
        <v>68135.03977850001</v>
      </c>
      <c r="K33" s="121"/>
      <c r="L33" s="23"/>
    </row>
    <row r="34" spans="2:12" ht="38.5" customHeight="1" x14ac:dyDescent="0.35">
      <c r="B34" s="140"/>
      <c r="C34" s="126" t="s">
        <v>49</v>
      </c>
      <c r="D34" s="25"/>
      <c r="E34" s="153"/>
      <c r="F34" s="138"/>
      <c r="G34" s="138"/>
      <c r="H34" s="138"/>
      <c r="I34" s="2"/>
      <c r="J34" s="153" t="s">
        <v>50</v>
      </c>
      <c r="K34" s="32"/>
      <c r="L34" s="24"/>
    </row>
    <row r="35" spans="2:12" ht="38.5" customHeight="1" x14ac:dyDescent="0.35">
      <c r="B35" s="140"/>
      <c r="C35" s="124" t="s">
        <v>51</v>
      </c>
      <c r="D35" s="25"/>
      <c r="E35" s="138"/>
      <c r="F35" s="138"/>
      <c r="G35" s="138"/>
      <c r="H35" s="138"/>
      <c r="I35" s="2"/>
      <c r="J35" s="153" t="s">
        <v>50</v>
      </c>
      <c r="K35" s="32"/>
      <c r="L35" s="26"/>
    </row>
    <row r="36" spans="2:12" ht="38.5" customHeight="1" x14ac:dyDescent="0.35">
      <c r="B36" s="140"/>
      <c r="C36" s="129" t="s">
        <v>52</v>
      </c>
      <c r="D36" s="161">
        <v>0</v>
      </c>
      <c r="E36" s="120"/>
      <c r="F36" s="120"/>
      <c r="G36" s="120"/>
      <c r="H36" s="120"/>
      <c r="I36" s="145"/>
      <c r="J36" s="146">
        <f>D36</f>
        <v>0</v>
      </c>
      <c r="K36" s="32"/>
      <c r="L36" s="23"/>
    </row>
    <row r="37" spans="2:12" ht="38.5" customHeight="1" x14ac:dyDescent="0.35">
      <c r="B37" s="140"/>
      <c r="C37" s="126" t="s">
        <v>53</v>
      </c>
      <c r="D37" s="138" t="s">
        <v>20</v>
      </c>
      <c r="E37" s="138"/>
      <c r="F37" s="138"/>
      <c r="G37" s="138"/>
      <c r="H37" s="138"/>
      <c r="I37" s="2"/>
      <c r="J37" s="147" t="s">
        <v>20</v>
      </c>
      <c r="K37" s="32"/>
      <c r="L37" s="24"/>
    </row>
    <row r="38" spans="2:12" ht="58" x14ac:dyDescent="0.35">
      <c r="B38" s="140"/>
      <c r="C38" s="38" t="s">
        <v>54</v>
      </c>
      <c r="D38" s="141">
        <v>0</v>
      </c>
      <c r="E38" s="141">
        <v>800</v>
      </c>
      <c r="F38" s="141">
        <v>800</v>
      </c>
      <c r="G38" s="141">
        <v>800</v>
      </c>
      <c r="H38" s="141">
        <v>800</v>
      </c>
      <c r="I38" s="2"/>
      <c r="J38" s="147">
        <f>SUM(D38:H38)</f>
        <v>3200</v>
      </c>
      <c r="K38" s="32"/>
      <c r="L38" s="24"/>
    </row>
    <row r="39" spans="2:12" ht="72.5" x14ac:dyDescent="0.35">
      <c r="B39" s="140"/>
      <c r="C39" s="38" t="s">
        <v>55</v>
      </c>
      <c r="D39" s="141">
        <v>0</v>
      </c>
      <c r="E39" s="141">
        <v>2000</v>
      </c>
      <c r="F39" s="141">
        <v>2000</v>
      </c>
      <c r="G39" s="141">
        <v>2000</v>
      </c>
      <c r="H39" s="141">
        <v>2000</v>
      </c>
      <c r="I39" s="2"/>
      <c r="J39" s="147">
        <f t="shared" ref="J39:J40" si="6">SUM(D39:H39)</f>
        <v>8000</v>
      </c>
      <c r="K39" s="32"/>
      <c r="L39" s="24"/>
    </row>
    <row r="40" spans="2:12" ht="43.5" x14ac:dyDescent="0.35">
      <c r="B40" s="140"/>
      <c r="C40" s="38" t="s">
        <v>56</v>
      </c>
      <c r="D40" s="141">
        <v>0</v>
      </c>
      <c r="E40" s="141">
        <v>300</v>
      </c>
      <c r="F40" s="141">
        <v>300</v>
      </c>
      <c r="G40" s="141">
        <v>300</v>
      </c>
      <c r="H40" s="141">
        <v>300</v>
      </c>
      <c r="I40" s="142"/>
      <c r="J40" s="147">
        <f t="shared" si="6"/>
        <v>1200</v>
      </c>
      <c r="K40" s="32"/>
      <c r="L40" s="21" t="s">
        <v>57</v>
      </c>
    </row>
    <row r="41" spans="2:12" ht="38.5" customHeight="1" x14ac:dyDescent="0.35">
      <c r="B41" s="140"/>
      <c r="C41" s="120" t="s">
        <v>58</v>
      </c>
      <c r="D41" s="144">
        <f>SUM(D38:D40)</f>
        <v>0</v>
      </c>
      <c r="E41" s="144">
        <f>SUM(E38:E40)</f>
        <v>3100</v>
      </c>
      <c r="F41" s="144">
        <f>SUM(F38:F40)</f>
        <v>3100</v>
      </c>
      <c r="G41" s="144">
        <f>SUM(G38:G40)</f>
        <v>3100</v>
      </c>
      <c r="H41" s="144">
        <f>SUM(H38:H40)</f>
        <v>3100</v>
      </c>
      <c r="I41" s="145"/>
      <c r="J41" s="146">
        <f>SUM(D41:H41)</f>
        <v>12400</v>
      </c>
      <c r="K41" s="32"/>
      <c r="L41" s="23"/>
    </row>
    <row r="42" spans="2:12" ht="38.5" customHeight="1" x14ac:dyDescent="0.35">
      <c r="B42" s="140"/>
      <c r="C42" s="56" t="s">
        <v>59</v>
      </c>
      <c r="D42" s="138" t="s">
        <v>20</v>
      </c>
      <c r="E42" s="138"/>
      <c r="F42" s="138"/>
      <c r="G42" s="138"/>
      <c r="H42" s="138"/>
      <c r="I42" s="2"/>
      <c r="J42" s="147" t="s">
        <v>20</v>
      </c>
      <c r="K42" s="148"/>
      <c r="L42" s="24"/>
    </row>
    <row r="43" spans="2:12" ht="81.650000000000006" customHeight="1" x14ac:dyDescent="0.35">
      <c r="B43" s="140"/>
      <c r="C43" s="38" t="s">
        <v>149</v>
      </c>
      <c r="D43" s="141">
        <v>0</v>
      </c>
      <c r="E43" s="141">
        <v>1165362.9166666667</v>
      </c>
      <c r="F43" s="141">
        <v>1165362.9166666667</v>
      </c>
      <c r="G43" s="141">
        <v>1165362.9166666667</v>
      </c>
      <c r="H43" s="141">
        <v>1165362.9166666667</v>
      </c>
      <c r="I43" s="2"/>
      <c r="J43" s="143">
        <f>+SUM(D43:H43)</f>
        <v>4661451.666666667</v>
      </c>
      <c r="K43" s="162"/>
      <c r="L43" s="21" t="s">
        <v>60</v>
      </c>
    </row>
    <row r="44" spans="2:12" ht="112.5" customHeight="1" x14ac:dyDescent="0.35">
      <c r="B44" s="140"/>
      <c r="C44" s="38" t="s">
        <v>61</v>
      </c>
      <c r="D44" s="25">
        <v>0</v>
      </c>
      <c r="E44" s="25">
        <v>1129354.9999999967</v>
      </c>
      <c r="F44" s="25">
        <v>1129354.9999999967</v>
      </c>
      <c r="G44" s="25">
        <v>1129354.9999999967</v>
      </c>
      <c r="H44" s="25">
        <v>1129354.9999999967</v>
      </c>
      <c r="I44" s="2"/>
      <c r="J44" s="143">
        <f>SUM(D44:H44)</f>
        <v>4517419.999999987</v>
      </c>
      <c r="K44" s="163"/>
      <c r="L44" s="21" t="s">
        <v>62</v>
      </c>
    </row>
    <row r="45" spans="2:12" ht="43.5" x14ac:dyDescent="0.35">
      <c r="B45" s="140"/>
      <c r="C45" s="38" t="s">
        <v>63</v>
      </c>
      <c r="D45" s="141">
        <v>80336</v>
      </c>
      <c r="E45" s="141">
        <v>103000</v>
      </c>
      <c r="F45" s="141">
        <v>106090</v>
      </c>
      <c r="G45" s="141">
        <v>109272.7</v>
      </c>
      <c r="H45" s="141">
        <v>112550.88099999999</v>
      </c>
      <c r="I45" s="2"/>
      <c r="J45" s="143">
        <f t="shared" ref="J45:J49" si="7">+SUM(D45:H45)</f>
        <v>511249.58100000001</v>
      </c>
      <c r="K45" s="164"/>
      <c r="L45" s="21" t="s">
        <v>64</v>
      </c>
    </row>
    <row r="46" spans="2:12" ht="29" x14ac:dyDescent="0.35">
      <c r="B46" s="140"/>
      <c r="C46" s="38" t="s">
        <v>65</v>
      </c>
      <c r="D46" s="141">
        <v>0</v>
      </c>
      <c r="E46" s="141">
        <v>13447</v>
      </c>
      <c r="F46" s="141">
        <v>13851</v>
      </c>
      <c r="G46" s="141">
        <v>14266</v>
      </c>
      <c r="H46" s="141">
        <v>14694</v>
      </c>
      <c r="I46" s="2"/>
      <c r="J46" s="143">
        <f t="shared" si="7"/>
        <v>56258</v>
      </c>
      <c r="K46" s="32"/>
      <c r="L46" s="21" t="s">
        <v>66</v>
      </c>
    </row>
    <row r="47" spans="2:12" ht="87" x14ac:dyDescent="0.35">
      <c r="B47" s="140"/>
      <c r="C47" s="38" t="s">
        <v>67</v>
      </c>
      <c r="D47" s="141">
        <v>0</v>
      </c>
      <c r="E47" s="141">
        <v>6065</v>
      </c>
      <c r="F47" s="141">
        <v>6247</v>
      </c>
      <c r="G47" s="141">
        <v>6435</v>
      </c>
      <c r="H47" s="141">
        <v>6290</v>
      </c>
      <c r="I47" s="2"/>
      <c r="J47" s="143">
        <f t="shared" si="7"/>
        <v>25037</v>
      </c>
      <c r="K47" s="32"/>
      <c r="L47" s="21" t="s">
        <v>68</v>
      </c>
    </row>
    <row r="48" spans="2:12" s="28" customFormat="1" ht="29" x14ac:dyDescent="0.35">
      <c r="B48" s="27"/>
      <c r="C48" s="38" t="s">
        <v>69</v>
      </c>
      <c r="D48" s="25">
        <v>6009.4987999999994</v>
      </c>
      <c r="E48" s="25">
        <v>6189.7837639999998</v>
      </c>
      <c r="F48" s="25">
        <v>6375.4772769199999</v>
      </c>
      <c r="G48" s="25">
        <v>6566.7415952275996</v>
      </c>
      <c r="H48" s="25">
        <v>6763.7438430844286</v>
      </c>
      <c r="I48" s="145"/>
      <c r="J48" s="143">
        <f t="shared" si="7"/>
        <v>31905.245279232025</v>
      </c>
      <c r="L48" s="21" t="s">
        <v>70</v>
      </c>
    </row>
    <row r="49" spans="2:13" s="28" customFormat="1" ht="29" x14ac:dyDescent="0.35">
      <c r="B49" s="27"/>
      <c r="C49" s="55" t="s">
        <v>71</v>
      </c>
      <c r="D49" s="141">
        <v>5000</v>
      </c>
      <c r="E49" s="141">
        <v>25000</v>
      </c>
      <c r="F49" s="141">
        <v>25000</v>
      </c>
      <c r="G49" s="141">
        <v>25000</v>
      </c>
      <c r="H49" s="141">
        <v>25000</v>
      </c>
      <c r="I49" s="145"/>
      <c r="J49" s="143">
        <f t="shared" si="7"/>
        <v>105000</v>
      </c>
      <c r="K49" s="29"/>
      <c r="L49" s="21" t="s">
        <v>70</v>
      </c>
    </row>
    <row r="50" spans="2:13" ht="38.5" customHeight="1" x14ac:dyDescent="0.35">
      <c r="B50" s="140"/>
      <c r="C50" s="120" t="s">
        <v>72</v>
      </c>
      <c r="D50" s="144">
        <f>SUM(D43:D49)</f>
        <v>91345.498800000001</v>
      </c>
      <c r="E50" s="144">
        <f>SUM(E43:E49)</f>
        <v>2448419.7004306633</v>
      </c>
      <c r="F50" s="144">
        <f>SUM(F43:F49)</f>
        <v>2452281.3939435831</v>
      </c>
      <c r="G50" s="144">
        <f>SUM(G43:G49)</f>
        <v>2456258.3582618912</v>
      </c>
      <c r="H50" s="144">
        <f>SUM(H43:H49)</f>
        <v>2460016.5415097475</v>
      </c>
      <c r="I50" s="145"/>
      <c r="J50" s="146">
        <f>SUM(D50:H50)</f>
        <v>9908321.4929458853</v>
      </c>
      <c r="K50" s="32"/>
      <c r="L50" s="23"/>
      <c r="M50" s="32"/>
    </row>
    <row r="51" spans="2:13" s="28" customFormat="1" ht="45.65" customHeight="1" x14ac:dyDescent="0.35">
      <c r="B51" s="27"/>
      <c r="C51" s="56" t="s">
        <v>73</v>
      </c>
      <c r="D51" s="141"/>
      <c r="E51" s="141"/>
      <c r="F51" s="141"/>
      <c r="G51" s="141"/>
      <c r="H51" s="141"/>
      <c r="I51" s="145"/>
      <c r="J51" s="143"/>
      <c r="K51" s="29"/>
      <c r="L51" s="21"/>
    </row>
    <row r="52" spans="2:13" ht="29" x14ac:dyDescent="0.35">
      <c r="B52" s="140"/>
      <c r="C52" s="38" t="s">
        <v>74</v>
      </c>
      <c r="D52" s="141">
        <v>0</v>
      </c>
      <c r="E52" s="141">
        <v>3226673.5</v>
      </c>
      <c r="F52" s="141">
        <v>3226673.5</v>
      </c>
      <c r="G52" s="141">
        <v>3226673.5</v>
      </c>
      <c r="H52" s="141">
        <v>3226673.5</v>
      </c>
      <c r="I52" s="2"/>
      <c r="J52" s="165">
        <f>SUM(D52:H52)</f>
        <v>12906694</v>
      </c>
      <c r="K52" s="29"/>
      <c r="L52" s="21" t="s">
        <v>75</v>
      </c>
      <c r="M52" s="32"/>
    </row>
    <row r="53" spans="2:13" ht="43.5" x14ac:dyDescent="0.35">
      <c r="B53" s="140"/>
      <c r="C53" s="38" t="s">
        <v>76</v>
      </c>
      <c r="D53" s="141">
        <v>0</v>
      </c>
      <c r="E53" s="141">
        <v>2355356.75</v>
      </c>
      <c r="F53" s="141">
        <v>2355356.75</v>
      </c>
      <c r="G53" s="141">
        <v>2355356.75</v>
      </c>
      <c r="H53" s="141">
        <v>2355356.75</v>
      </c>
      <c r="I53" s="2"/>
      <c r="J53" s="165">
        <f t="shared" ref="J53:J55" si="8">SUM(D53:H53)</f>
        <v>9421427</v>
      </c>
      <c r="K53" s="32"/>
      <c r="L53" s="21" t="s">
        <v>77</v>
      </c>
      <c r="M53" s="32"/>
    </row>
    <row r="54" spans="2:13" ht="58" x14ac:dyDescent="0.35">
      <c r="B54" s="140"/>
      <c r="C54" s="38" t="s">
        <v>78</v>
      </c>
      <c r="D54" s="25">
        <v>0</v>
      </c>
      <c r="E54" s="141">
        <v>5566601.5324999997</v>
      </c>
      <c r="F54" s="141">
        <v>7243816.1991666667</v>
      </c>
      <c r="G54" s="141">
        <v>7243816.1991666667</v>
      </c>
      <c r="H54" s="141">
        <v>7243816.1991666667</v>
      </c>
      <c r="I54" s="2"/>
      <c r="J54" s="165">
        <f t="shared" si="8"/>
        <v>27298050.129999999</v>
      </c>
      <c r="K54" s="121"/>
      <c r="L54" s="21" t="s">
        <v>79</v>
      </c>
      <c r="M54" s="32"/>
    </row>
    <row r="55" spans="2:13" ht="68.5" customHeight="1" x14ac:dyDescent="0.35">
      <c r="B55" s="140"/>
      <c r="C55" s="38" t="s">
        <v>80</v>
      </c>
      <c r="D55" s="141">
        <v>0</v>
      </c>
      <c r="E55" s="141">
        <v>620000</v>
      </c>
      <c r="F55" s="25">
        <v>0</v>
      </c>
      <c r="G55" s="25">
        <v>0</v>
      </c>
      <c r="H55" s="25">
        <v>0</v>
      </c>
      <c r="I55" s="2"/>
      <c r="J55" s="165">
        <f t="shared" si="8"/>
        <v>620000</v>
      </c>
      <c r="K55" s="166"/>
      <c r="L55" s="21" t="s">
        <v>81</v>
      </c>
      <c r="M55" s="32"/>
    </row>
    <row r="56" spans="2:13" s="28" customFormat="1" ht="45.65" customHeight="1" x14ac:dyDescent="0.35">
      <c r="B56" s="27"/>
      <c r="C56" s="120" t="s">
        <v>82</v>
      </c>
      <c r="D56" s="151">
        <f>+SUM(D51:D55)</f>
        <v>0</v>
      </c>
      <c r="E56" s="151">
        <f t="shared" ref="E56:G56" si="9">+SUM(E51:E55)</f>
        <v>11768631.782499999</v>
      </c>
      <c r="F56" s="151">
        <f t="shared" si="9"/>
        <v>12825846.449166667</v>
      </c>
      <c r="G56" s="151">
        <f t="shared" si="9"/>
        <v>12825846.449166667</v>
      </c>
      <c r="H56" s="151">
        <f>+SUM(H51:H55)</f>
        <v>12825846.449166667</v>
      </c>
      <c r="I56" s="145"/>
      <c r="J56" s="146">
        <f>SUM(D56:H56)</f>
        <v>50246171.129999995</v>
      </c>
      <c r="K56" s="29"/>
      <c r="L56" s="21"/>
    </row>
    <row r="57" spans="2:13" ht="38.5" customHeight="1" x14ac:dyDescent="0.35">
      <c r="B57" s="140"/>
      <c r="C57" s="56" t="s">
        <v>83</v>
      </c>
      <c r="D57" s="141"/>
      <c r="E57" s="141"/>
      <c r="F57" s="25"/>
      <c r="G57" s="25"/>
      <c r="H57" s="25"/>
      <c r="I57" s="2"/>
      <c r="J57" s="130">
        <v>400000</v>
      </c>
      <c r="K57" s="150"/>
      <c r="L57" s="23"/>
      <c r="M57" s="121"/>
    </row>
    <row r="58" spans="2:13" ht="38.5" customHeight="1" x14ac:dyDescent="0.35">
      <c r="B58" s="140"/>
      <c r="C58" s="120" t="s">
        <v>84</v>
      </c>
      <c r="D58" s="151">
        <f>D56</f>
        <v>0</v>
      </c>
      <c r="E58" s="151">
        <f t="shared" ref="E58:H58" si="10">E56</f>
        <v>11768631.782499999</v>
      </c>
      <c r="F58" s="151">
        <f t="shared" si="10"/>
        <v>12825846.449166667</v>
      </c>
      <c r="G58" s="151">
        <f t="shared" si="10"/>
        <v>12825846.449166667</v>
      </c>
      <c r="H58" s="151">
        <f t="shared" si="10"/>
        <v>12825846.449166667</v>
      </c>
      <c r="I58" s="145"/>
      <c r="J58" s="146">
        <f>SUM(D58:H58)+J57</f>
        <v>50646171.129999995</v>
      </c>
      <c r="K58" s="150"/>
      <c r="L58" s="23"/>
      <c r="M58" s="32"/>
    </row>
    <row r="59" spans="2:13" ht="38.5" customHeight="1" x14ac:dyDescent="0.35">
      <c r="B59" s="167"/>
      <c r="C59" s="120" t="s">
        <v>16</v>
      </c>
      <c r="D59" s="144">
        <f>SUM(D12,D17,D33,D36,D41,D50,D58)</f>
        <v>350101.22301411623</v>
      </c>
      <c r="E59" s="144">
        <f t="shared" ref="E59:H59" si="11">SUM(E12,E17,E33,E36,E41,E50,E58)</f>
        <v>14608415.100660663</v>
      </c>
      <c r="F59" s="144">
        <f t="shared" si="11"/>
        <v>15681139.814072151</v>
      </c>
      <c r="G59" s="144">
        <f t="shared" si="11"/>
        <v>15697114.077519314</v>
      </c>
      <c r="H59" s="144">
        <f t="shared" si="11"/>
        <v>15713229.478869895</v>
      </c>
      <c r="I59" s="2"/>
      <c r="J59" s="146">
        <f>SUM(J12,J17,J33,J36,J41,J50,J58)</f>
        <v>62449999.694136135</v>
      </c>
      <c r="K59" s="30"/>
      <c r="L59" s="23"/>
      <c r="M59" s="32"/>
    </row>
    <row r="60" spans="2:13" ht="38.5" customHeight="1" x14ac:dyDescent="0.35">
      <c r="B60" s="131"/>
      <c r="D60" s="32"/>
      <c r="E60" s="32"/>
      <c r="F60" s="32"/>
      <c r="G60" s="32"/>
      <c r="H60" s="32"/>
      <c r="I60" s="32"/>
      <c r="J60" s="121" t="s">
        <v>50</v>
      </c>
      <c r="K60" s="168"/>
      <c r="L60" s="34"/>
      <c r="M60" s="32"/>
    </row>
    <row r="61" spans="2:13" ht="38.5" hidden="1" customHeight="1" outlineLevel="1" x14ac:dyDescent="0.35">
      <c r="B61" s="19" t="s">
        <v>85</v>
      </c>
      <c r="C61" s="169" t="s">
        <v>85</v>
      </c>
      <c r="D61" s="33"/>
      <c r="E61" s="34"/>
      <c r="F61" s="34"/>
      <c r="G61" s="34"/>
      <c r="H61" s="34"/>
      <c r="I61" s="32"/>
      <c r="J61" s="122" t="s">
        <v>50</v>
      </c>
      <c r="K61" s="156"/>
      <c r="L61" s="31"/>
      <c r="M61" s="32"/>
    </row>
    <row r="62" spans="2:13" ht="38.5" hidden="1" customHeight="1" outlineLevel="1" x14ac:dyDescent="0.35">
      <c r="B62" s="140"/>
      <c r="C62" s="38" t="s">
        <v>86</v>
      </c>
      <c r="D62" s="35"/>
      <c r="E62" s="21"/>
      <c r="F62" s="21"/>
      <c r="G62" s="21"/>
      <c r="H62" s="21"/>
      <c r="J62" s="170" t="s">
        <v>50</v>
      </c>
      <c r="K62" s="32"/>
      <c r="L62" s="21"/>
      <c r="M62" s="32"/>
    </row>
    <row r="63" spans="2:13" ht="38.5" hidden="1" customHeight="1" outlineLevel="1" x14ac:dyDescent="0.35">
      <c r="B63" s="140"/>
      <c r="C63" s="38" t="s">
        <v>87</v>
      </c>
      <c r="D63" s="35"/>
      <c r="E63" s="21"/>
      <c r="F63" s="21"/>
      <c r="G63" s="21"/>
      <c r="H63" s="21"/>
      <c r="J63" s="170"/>
      <c r="K63" s="32"/>
      <c r="L63" s="21"/>
      <c r="M63" s="32"/>
    </row>
    <row r="64" spans="2:13" ht="38.5" hidden="1" customHeight="1" outlineLevel="1" x14ac:dyDescent="0.35">
      <c r="B64" s="167"/>
      <c r="C64" s="171" t="s">
        <v>88</v>
      </c>
      <c r="D64" s="36">
        <v>0</v>
      </c>
      <c r="E64" s="23"/>
      <c r="F64" s="23"/>
      <c r="G64" s="23"/>
      <c r="H64" s="23"/>
      <c r="J64" s="172" t="s">
        <v>50</v>
      </c>
      <c r="K64" s="32"/>
      <c r="L64" s="23"/>
      <c r="M64" s="32"/>
    </row>
    <row r="65" spans="2:40" ht="38.5" customHeight="1" collapsed="1" x14ac:dyDescent="0.35">
      <c r="B65" s="131"/>
      <c r="D65" s="32"/>
      <c r="E65" s="32"/>
      <c r="F65" s="32"/>
      <c r="G65" s="32"/>
      <c r="H65" s="32"/>
      <c r="I65" s="32"/>
      <c r="J65" s="121" t="s">
        <v>50</v>
      </c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</row>
    <row r="66" spans="2:40" ht="38.5" customHeight="1" x14ac:dyDescent="0.35">
      <c r="B66" s="131"/>
      <c r="D66" s="131"/>
      <c r="E66" s="127"/>
      <c r="F66" s="128"/>
      <c r="G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</row>
    <row r="67" spans="2:40" ht="38.5" customHeight="1" x14ac:dyDescent="0.35">
      <c r="B67" s="131"/>
      <c r="D67" s="131"/>
      <c r="F67" s="32"/>
      <c r="G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</row>
    <row r="68" spans="2:40" ht="38.5" customHeight="1" x14ac:dyDescent="0.35">
      <c r="B68" s="131"/>
      <c r="D68" s="131"/>
      <c r="F68" s="32"/>
      <c r="G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</row>
    <row r="69" spans="2:40" ht="38.5" customHeight="1" x14ac:dyDescent="0.35">
      <c r="B69" s="131"/>
      <c r="D69" s="131"/>
      <c r="F69" s="32"/>
      <c r="G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</row>
    <row r="70" spans="2:40" ht="38.5" customHeight="1" x14ac:dyDescent="0.35">
      <c r="B70" s="131"/>
      <c r="D70" s="131"/>
      <c r="F70" s="32"/>
      <c r="G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</row>
    <row r="71" spans="2:40" ht="38.5" customHeight="1" x14ac:dyDescent="0.35">
      <c r="B71" s="131"/>
      <c r="D71" s="131"/>
      <c r="F71" s="32"/>
      <c r="G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</row>
    <row r="72" spans="2:40" ht="38.5" customHeight="1" x14ac:dyDescent="0.35">
      <c r="B72" s="131"/>
      <c r="D72" s="131"/>
      <c r="F72" s="32"/>
      <c r="G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</row>
    <row r="73" spans="2:40" ht="38.5" customHeight="1" x14ac:dyDescent="0.35">
      <c r="B73" s="131"/>
      <c r="D73" s="131"/>
      <c r="F73" s="32"/>
      <c r="G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</row>
    <row r="74" spans="2:40" ht="38.5" customHeight="1" x14ac:dyDescent="0.35">
      <c r="B74" s="131"/>
      <c r="D74" s="131"/>
      <c r="F74" s="32"/>
      <c r="G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</row>
    <row r="75" spans="2:40" ht="38.5" customHeight="1" x14ac:dyDescent="0.35">
      <c r="B75" s="131"/>
      <c r="D75" s="131"/>
      <c r="F75" s="32"/>
      <c r="G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</row>
    <row r="76" spans="2:40" ht="38.5" customHeight="1" x14ac:dyDescent="0.35">
      <c r="B76" s="131"/>
      <c r="D76" s="131"/>
      <c r="F76" s="32"/>
      <c r="G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</row>
    <row r="77" spans="2:40" ht="38.5" customHeight="1" x14ac:dyDescent="0.35">
      <c r="B77" s="131"/>
      <c r="D77" s="131"/>
      <c r="F77" s="32"/>
      <c r="G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</row>
    <row r="78" spans="2:40" ht="38.5" customHeight="1" x14ac:dyDescent="0.35">
      <c r="B78" s="131"/>
      <c r="D78" s="131"/>
      <c r="F78" s="32"/>
      <c r="G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</row>
    <row r="79" spans="2:40" s="2" customFormat="1" ht="38.5" customHeight="1" x14ac:dyDescent="0.35">
      <c r="B79" s="131"/>
      <c r="D79" s="131"/>
      <c r="E79" s="4"/>
      <c r="F79" s="32"/>
      <c r="G79" s="32"/>
      <c r="H79" s="4"/>
      <c r="I79" s="5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</row>
    <row r="80" spans="2:40" s="2" customFormat="1" ht="38.5" customHeight="1" x14ac:dyDescent="0.35">
      <c r="B80" s="131"/>
      <c r="D80" s="131"/>
      <c r="E80" s="4"/>
      <c r="F80" s="32"/>
      <c r="G80" s="32"/>
      <c r="H80" s="4"/>
      <c r="I80" s="5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</row>
  </sheetData>
  <printOptions horizontalCentered="1"/>
  <pageMargins left="0.25" right="0.25" top="0.75" bottom="0.75" header="0.3" footer="0.3"/>
  <pageSetup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E8A8E-C471-4C0D-87D8-F746CEE1D17D}">
  <dimension ref="A1:AO73"/>
  <sheetViews>
    <sheetView topLeftCell="A4" zoomScaleNormal="100" workbookViewId="0">
      <selection activeCell="D18" activeCellId="1" sqref="B18 D18"/>
    </sheetView>
  </sheetViews>
  <sheetFormatPr defaultRowHeight="14.5" x14ac:dyDescent="0.35"/>
  <cols>
    <col min="1" max="1" width="26.453125" customWidth="1"/>
    <col min="2" max="3" width="18.81640625" customWidth="1"/>
    <col min="4" max="4" width="18" customWidth="1"/>
    <col min="5" max="5" width="13.1796875" customWidth="1"/>
    <col min="6" max="6" width="12.54296875" bestFit="1" customWidth="1"/>
    <col min="7" max="7" width="14.1796875" customWidth="1"/>
    <col min="8" max="8" width="12.54296875" customWidth="1"/>
    <col min="16" max="17" width="0" hidden="1" customWidth="1"/>
    <col min="18" max="18" width="22.81640625" hidden="1" customWidth="1"/>
    <col min="19" max="20" width="0" hidden="1" customWidth="1"/>
    <col min="21" max="21" width="12.453125" hidden="1" customWidth="1"/>
    <col min="22" max="22" width="13.453125" hidden="1" customWidth="1"/>
    <col min="23" max="23" width="11.453125" hidden="1" customWidth="1"/>
    <col min="24" max="24" width="12" hidden="1" customWidth="1"/>
    <col min="25" max="25" width="12.81640625" hidden="1" customWidth="1"/>
    <col min="26" max="26" width="11.81640625" hidden="1" customWidth="1"/>
    <col min="27" max="28" width="0" hidden="1" customWidth="1"/>
    <col min="29" max="29" width="8.81640625" hidden="1" customWidth="1"/>
    <col min="30" max="30" width="12.7265625" hidden="1" customWidth="1"/>
    <col min="31" max="31" width="11.453125" hidden="1" customWidth="1"/>
    <col min="32" max="33" width="0" hidden="1" customWidth="1"/>
    <col min="34" max="34" width="12.453125" hidden="1" customWidth="1"/>
    <col min="35" max="35" width="18.26953125" hidden="1" customWidth="1"/>
    <col min="36" max="36" width="15.7265625" hidden="1" customWidth="1"/>
    <col min="37" max="42" width="0" hidden="1" customWidth="1"/>
  </cols>
  <sheetData>
    <row r="1" spans="1:41" x14ac:dyDescent="0.35">
      <c r="B1" s="57" t="s">
        <v>89</v>
      </c>
      <c r="C1" s="57" t="s">
        <v>90</v>
      </c>
      <c r="D1" s="57" t="s">
        <v>91</v>
      </c>
      <c r="E1" s="57" t="s">
        <v>92</v>
      </c>
      <c r="F1" s="57" t="s">
        <v>93</v>
      </c>
      <c r="G1" s="57" t="s">
        <v>94</v>
      </c>
      <c r="P1" t="s">
        <v>95</v>
      </c>
      <c r="Q1" t="s">
        <v>96</v>
      </c>
      <c r="R1" t="s">
        <v>97</v>
      </c>
      <c r="S1" t="s">
        <v>98</v>
      </c>
      <c r="T1" t="s">
        <v>99</v>
      </c>
      <c r="U1" t="s">
        <v>100</v>
      </c>
      <c r="V1" t="s">
        <v>101</v>
      </c>
      <c r="W1" t="s">
        <v>102</v>
      </c>
      <c r="X1" t="s">
        <v>103</v>
      </c>
      <c r="Y1" t="s">
        <v>104</v>
      </c>
      <c r="Z1" t="s">
        <v>105</v>
      </c>
      <c r="AA1" t="s">
        <v>106</v>
      </c>
      <c r="AB1" t="s">
        <v>107</v>
      </c>
      <c r="AC1" t="s">
        <v>108</v>
      </c>
      <c r="AD1" t="s">
        <v>94</v>
      </c>
    </row>
    <row r="2" spans="1:41" x14ac:dyDescent="0.35">
      <c r="A2" t="s">
        <v>109</v>
      </c>
      <c r="B2" s="39">
        <f>H11</f>
        <v>180150</v>
      </c>
      <c r="C2" s="39">
        <f>H24</f>
        <v>265554.5</v>
      </c>
      <c r="D2" s="39">
        <f>H37</f>
        <v>273521.13500000001</v>
      </c>
      <c r="E2" s="39">
        <f>H50</f>
        <v>281726.76905</v>
      </c>
      <c r="F2" s="39">
        <f>H63</f>
        <v>290178.57212150004</v>
      </c>
      <c r="G2" s="39">
        <f>SUM(B2:F2)</f>
        <v>1291130.9761715</v>
      </c>
      <c r="P2" s="42">
        <v>650</v>
      </c>
      <c r="Q2" s="41">
        <v>-4826.8100000000004</v>
      </c>
      <c r="R2" s="41">
        <v>2500.16</v>
      </c>
      <c r="S2" s="43">
        <v>8798.06</v>
      </c>
      <c r="T2" s="44">
        <v>233.76</v>
      </c>
      <c r="U2" s="44">
        <v>474.84</v>
      </c>
      <c r="V2" s="42">
        <v>72.36</v>
      </c>
      <c r="W2" s="42">
        <v>479.96</v>
      </c>
      <c r="X2" s="45">
        <v>20910</v>
      </c>
      <c r="Y2" s="42">
        <v>15</v>
      </c>
      <c r="Z2" s="44">
        <v>863.46</v>
      </c>
      <c r="AA2" s="42" t="s">
        <v>110</v>
      </c>
      <c r="AB2" s="42">
        <v>888</v>
      </c>
      <c r="AC2" s="43">
        <v>9539.5</v>
      </c>
      <c r="AD2" s="41">
        <v>165606.29</v>
      </c>
    </row>
    <row r="3" spans="1:41" x14ac:dyDescent="0.35">
      <c r="A3" t="s">
        <v>111</v>
      </c>
      <c r="B3" s="58">
        <f>H18</f>
        <v>70285.724214116242</v>
      </c>
      <c r="C3" s="59">
        <f>H31</f>
        <v>108412.10772999999</v>
      </c>
      <c r="D3" s="58">
        <f>H44</f>
        <v>111664.47096189999</v>
      </c>
      <c r="E3" s="58">
        <f>H57</f>
        <v>115014.40509075699</v>
      </c>
      <c r="F3" s="58">
        <f>H70</f>
        <v>118464.83724347971</v>
      </c>
      <c r="G3" s="60">
        <f>SUM(B3:F3)</f>
        <v>523841.54524025298</v>
      </c>
      <c r="P3">
        <f t="shared" ref="P3:AC3" si="0">P2*70%</f>
        <v>454.99999999999994</v>
      </c>
      <c r="Q3">
        <f t="shared" si="0"/>
        <v>-3378.7670000000003</v>
      </c>
      <c r="R3">
        <f t="shared" si="0"/>
        <v>1750.1119999999999</v>
      </c>
      <c r="S3">
        <f t="shared" si="0"/>
        <v>6158.6419999999989</v>
      </c>
      <c r="T3">
        <f t="shared" si="0"/>
        <v>163.63199999999998</v>
      </c>
      <c r="U3">
        <f t="shared" si="0"/>
        <v>332.38799999999998</v>
      </c>
      <c r="V3">
        <f t="shared" si="0"/>
        <v>50.651999999999994</v>
      </c>
      <c r="W3">
        <f t="shared" si="0"/>
        <v>335.97199999999998</v>
      </c>
      <c r="X3">
        <f t="shared" si="0"/>
        <v>14636.999999999998</v>
      </c>
      <c r="Y3">
        <f t="shared" si="0"/>
        <v>10.5</v>
      </c>
      <c r="Z3">
        <f t="shared" si="0"/>
        <v>604.42200000000003</v>
      </c>
      <c r="AA3" t="e">
        <f t="shared" si="0"/>
        <v>#VALUE!</v>
      </c>
      <c r="AB3">
        <f t="shared" si="0"/>
        <v>621.59999999999991</v>
      </c>
      <c r="AC3">
        <f t="shared" si="0"/>
        <v>6677.65</v>
      </c>
    </row>
    <row r="4" spans="1:41" x14ac:dyDescent="0.35">
      <c r="A4" s="61" t="s">
        <v>94</v>
      </c>
      <c r="B4" s="39">
        <f>B2+B3</f>
        <v>250435.72421411623</v>
      </c>
      <c r="C4" s="39">
        <f t="shared" ref="C4:G4" si="1">C2+C3</f>
        <v>373966.60772999999</v>
      </c>
      <c r="D4" s="39">
        <f t="shared" si="1"/>
        <v>385185.60596189997</v>
      </c>
      <c r="E4" s="39">
        <f t="shared" si="1"/>
        <v>396741.17414075701</v>
      </c>
      <c r="F4" s="39">
        <f t="shared" si="1"/>
        <v>408643.40936497971</v>
      </c>
      <c r="G4" s="39">
        <f t="shared" si="1"/>
        <v>1814972.521411753</v>
      </c>
    </row>
    <row r="5" spans="1:41" ht="22" customHeight="1" x14ac:dyDescent="0.35"/>
    <row r="6" spans="1:41" x14ac:dyDescent="0.35">
      <c r="P6" t="s">
        <v>112</v>
      </c>
      <c r="Q6" t="s">
        <v>113</v>
      </c>
      <c r="R6" t="s">
        <v>114</v>
      </c>
      <c r="S6" t="s">
        <v>115</v>
      </c>
      <c r="T6" t="s">
        <v>116</v>
      </c>
      <c r="U6" t="s">
        <v>117</v>
      </c>
      <c r="V6" t="s">
        <v>118</v>
      </c>
      <c r="W6" t="s">
        <v>109</v>
      </c>
      <c r="X6" t="s">
        <v>119</v>
      </c>
      <c r="Y6" t="s">
        <v>120</v>
      </c>
      <c r="Z6" t="s">
        <v>121</v>
      </c>
      <c r="AA6" t="s">
        <v>95</v>
      </c>
      <c r="AB6" t="s">
        <v>96</v>
      </c>
      <c r="AC6" t="s">
        <v>97</v>
      </c>
      <c r="AD6" t="s">
        <v>98</v>
      </c>
      <c r="AE6" t="s">
        <v>99</v>
      </c>
      <c r="AF6" t="s">
        <v>100</v>
      </c>
      <c r="AG6" t="s">
        <v>101</v>
      </c>
      <c r="AH6" t="s">
        <v>102</v>
      </c>
      <c r="AI6" t="s">
        <v>103</v>
      </c>
      <c r="AJ6" t="s">
        <v>104</v>
      </c>
      <c r="AK6" t="s">
        <v>105</v>
      </c>
      <c r="AL6" t="s">
        <v>106</v>
      </c>
      <c r="AM6" t="s">
        <v>107</v>
      </c>
      <c r="AN6" t="s">
        <v>108</v>
      </c>
      <c r="AO6" t="s">
        <v>94</v>
      </c>
    </row>
    <row r="7" spans="1:41" x14ac:dyDescent="0.35">
      <c r="A7" s="61" t="s">
        <v>89</v>
      </c>
      <c r="P7" t="s">
        <v>122</v>
      </c>
      <c r="Q7" t="s">
        <v>123</v>
      </c>
      <c r="R7" t="s">
        <v>118</v>
      </c>
      <c r="S7" t="s">
        <v>124</v>
      </c>
      <c r="U7">
        <v>10</v>
      </c>
      <c r="V7">
        <v>1</v>
      </c>
      <c r="W7">
        <v>125008</v>
      </c>
      <c r="AA7">
        <v>650</v>
      </c>
      <c r="AB7">
        <v>-4826.8080912000005</v>
      </c>
      <c r="AC7">
        <v>2500.16</v>
      </c>
      <c r="AD7">
        <v>8798.0630400000009</v>
      </c>
      <c r="AE7">
        <v>233.76</v>
      </c>
      <c r="AF7">
        <v>474.84000000000003</v>
      </c>
      <c r="AG7">
        <v>72.36</v>
      </c>
      <c r="AH7">
        <v>479.96</v>
      </c>
      <c r="AI7">
        <v>20910</v>
      </c>
      <c r="AJ7">
        <v>15</v>
      </c>
      <c r="AK7">
        <v>863.46</v>
      </c>
      <c r="AL7">
        <v>0</v>
      </c>
      <c r="AM7">
        <v>888</v>
      </c>
      <c r="AN7">
        <v>9539.4973610232009</v>
      </c>
      <c r="AO7">
        <v>165606.29230982318</v>
      </c>
    </row>
    <row r="8" spans="1:41" x14ac:dyDescent="0.35">
      <c r="B8" s="173" t="s">
        <v>125</v>
      </c>
      <c r="C8" s="173"/>
      <c r="D8" s="174" t="s">
        <v>126</v>
      </c>
      <c r="E8" s="174"/>
      <c r="F8" s="175" t="s">
        <v>127</v>
      </c>
      <c r="G8" s="175"/>
      <c r="H8" s="176" t="s">
        <v>94</v>
      </c>
      <c r="I8" s="176"/>
      <c r="P8" t="s">
        <v>128</v>
      </c>
      <c r="Q8" t="s">
        <v>129</v>
      </c>
      <c r="R8" t="s">
        <v>130</v>
      </c>
      <c r="S8" t="s">
        <v>124</v>
      </c>
      <c r="U8">
        <v>0</v>
      </c>
      <c r="V8">
        <v>1</v>
      </c>
      <c r="W8">
        <v>20800</v>
      </c>
      <c r="AA8">
        <v>0</v>
      </c>
      <c r="AB8">
        <v>-624</v>
      </c>
      <c r="AN8">
        <v>1543.4639999999999</v>
      </c>
      <c r="AO8">
        <v>21719.464</v>
      </c>
    </row>
    <row r="9" spans="1:41" x14ac:dyDescent="0.35">
      <c r="B9" s="51" t="s">
        <v>131</v>
      </c>
      <c r="C9" s="51" t="s">
        <v>132</v>
      </c>
      <c r="D9" s="62" t="s">
        <v>131</v>
      </c>
      <c r="E9" s="62" t="s">
        <v>132</v>
      </c>
      <c r="F9" s="63"/>
      <c r="G9" s="63"/>
      <c r="H9" s="64" t="s">
        <v>131</v>
      </c>
      <c r="I9" s="64" t="s">
        <v>132</v>
      </c>
      <c r="P9" t="s">
        <v>133</v>
      </c>
      <c r="Q9" t="s">
        <v>134</v>
      </c>
      <c r="R9" t="s">
        <v>135</v>
      </c>
      <c r="S9" t="s">
        <v>124</v>
      </c>
      <c r="T9">
        <v>1561</v>
      </c>
      <c r="U9">
        <v>7</v>
      </c>
      <c r="V9">
        <v>1</v>
      </c>
      <c r="Y9">
        <v>90000</v>
      </c>
      <c r="AA9">
        <v>650</v>
      </c>
      <c r="AB9">
        <v>-3652.7843999999996</v>
      </c>
      <c r="AC9">
        <v>900</v>
      </c>
      <c r="AD9">
        <v>6272.1</v>
      </c>
      <c r="AE9">
        <v>233.76</v>
      </c>
      <c r="AF9">
        <v>474.84000000000003</v>
      </c>
      <c r="AG9">
        <v>72.36</v>
      </c>
      <c r="AH9">
        <v>479.96</v>
      </c>
      <c r="AI9">
        <v>20910</v>
      </c>
      <c r="AJ9">
        <v>15</v>
      </c>
      <c r="AK9">
        <v>863.46</v>
      </c>
      <c r="AL9">
        <v>0</v>
      </c>
      <c r="AM9">
        <v>888</v>
      </c>
      <c r="AN9">
        <v>6828.7859334000004</v>
      </c>
      <c r="AO9">
        <v>124935.4815334</v>
      </c>
    </row>
    <row r="10" spans="1:41" x14ac:dyDescent="0.35">
      <c r="A10" t="s">
        <v>136</v>
      </c>
      <c r="B10" s="65">
        <f>125000+2500</f>
        <v>127500</v>
      </c>
      <c r="C10" s="49"/>
      <c r="D10" s="66">
        <v>90900</v>
      </c>
      <c r="E10" s="67"/>
      <c r="F10" s="68"/>
      <c r="G10" s="69"/>
      <c r="H10" s="64"/>
      <c r="I10" s="64"/>
      <c r="P10" t="s">
        <v>137</v>
      </c>
      <c r="Q10" t="s">
        <v>138</v>
      </c>
      <c r="R10" t="s">
        <v>135</v>
      </c>
      <c r="S10" t="s">
        <v>124</v>
      </c>
      <c r="T10">
        <v>1561</v>
      </c>
      <c r="U10">
        <v>6</v>
      </c>
      <c r="V10">
        <v>1</v>
      </c>
      <c r="Y10">
        <v>70000</v>
      </c>
      <c r="AA10">
        <v>650</v>
      </c>
      <c r="AB10">
        <v>-3004.9703999999997</v>
      </c>
      <c r="AC10">
        <v>700</v>
      </c>
      <c r="AD10">
        <v>4878.3</v>
      </c>
      <c r="AE10">
        <v>233.76</v>
      </c>
      <c r="AF10">
        <v>474.84000000000003</v>
      </c>
      <c r="AG10">
        <v>72.36</v>
      </c>
      <c r="AH10">
        <v>479.96</v>
      </c>
      <c r="AI10">
        <v>20910</v>
      </c>
      <c r="AJ10">
        <v>15</v>
      </c>
      <c r="AK10">
        <v>863.46</v>
      </c>
      <c r="AL10">
        <v>0</v>
      </c>
      <c r="AM10">
        <v>888</v>
      </c>
      <c r="AN10">
        <v>5333.0437044</v>
      </c>
      <c r="AO10">
        <v>102493.7533044</v>
      </c>
    </row>
    <row r="11" spans="1:41" x14ac:dyDescent="0.35">
      <c r="A11" t="s">
        <v>139</v>
      </c>
      <c r="B11" s="65">
        <f>B10*70%</f>
        <v>89250</v>
      </c>
      <c r="C11" s="49">
        <f>B11/B10</f>
        <v>0.7</v>
      </c>
      <c r="D11" s="66">
        <f>D10</f>
        <v>90900</v>
      </c>
      <c r="E11" s="67"/>
      <c r="F11" s="68"/>
      <c r="G11" s="69"/>
      <c r="H11" s="70">
        <f>B11+D11+F11</f>
        <v>180150</v>
      </c>
      <c r="I11" s="64"/>
    </row>
    <row r="12" spans="1:41" x14ac:dyDescent="0.35">
      <c r="A12" s="47" t="s">
        <v>140</v>
      </c>
      <c r="B12" s="65"/>
      <c r="C12" s="49"/>
      <c r="D12" s="71"/>
      <c r="E12" s="67"/>
      <c r="F12" s="68"/>
      <c r="G12" s="69"/>
      <c r="H12" s="64"/>
      <c r="I12" s="64"/>
    </row>
    <row r="13" spans="1:41" x14ac:dyDescent="0.35">
      <c r="A13" t="s">
        <v>141</v>
      </c>
      <c r="B13" s="53">
        <f>AH15*70%</f>
        <v>6677.6481527162405</v>
      </c>
      <c r="C13" s="48">
        <f>B13/$B$11</f>
        <v>7.4819587145280003E-2</v>
      </c>
      <c r="D13" s="71">
        <f>AH16</f>
        <v>6828.7859334000004</v>
      </c>
      <c r="E13" s="72">
        <f>D13/$D$11</f>
        <v>7.5124157683168324E-2</v>
      </c>
      <c r="F13" s="68"/>
      <c r="G13" s="73"/>
      <c r="H13" s="74">
        <f>B13+D13</f>
        <v>13506.434086116242</v>
      </c>
      <c r="I13" s="75">
        <f>H13/$H$11</f>
        <v>7.4973267200201171E-2</v>
      </c>
    </row>
    <row r="14" spans="1:41" ht="38.25" customHeight="1" x14ac:dyDescent="0.35">
      <c r="A14" t="s">
        <v>142</v>
      </c>
      <c r="B14" s="53">
        <f>(AD15+AF15+AB15)*70%</f>
        <v>15292.073999999999</v>
      </c>
      <c r="C14" s="48">
        <f>B14/$B$11</f>
        <v>0.17133976470588233</v>
      </c>
      <c r="D14" s="71">
        <f>(AD16+AF16+AB16)</f>
        <v>21845.82</v>
      </c>
      <c r="E14" s="76">
        <f>D14/$D$11</f>
        <v>0.24032805280528052</v>
      </c>
      <c r="F14" s="68"/>
      <c r="G14" s="77"/>
      <c r="H14" s="74">
        <f>B14+D14</f>
        <v>37137.894</v>
      </c>
      <c r="I14" s="75">
        <f>H14/$H$11</f>
        <v>0.20614984179850124</v>
      </c>
      <c r="P14" s="78" t="s">
        <v>143</v>
      </c>
      <c r="Q14" s="79" t="s">
        <v>112</v>
      </c>
      <c r="R14" s="79" t="s">
        <v>113</v>
      </c>
      <c r="S14" s="79" t="s">
        <v>114</v>
      </c>
      <c r="T14" s="79" t="s">
        <v>115</v>
      </c>
      <c r="U14" s="79" t="s">
        <v>109</v>
      </c>
      <c r="V14" s="79" t="s">
        <v>95</v>
      </c>
      <c r="W14" s="79" t="s">
        <v>96</v>
      </c>
      <c r="X14" s="79" t="s">
        <v>97</v>
      </c>
      <c r="Y14" s="79" t="s">
        <v>98</v>
      </c>
      <c r="Z14" s="79" t="s">
        <v>99</v>
      </c>
      <c r="AA14" s="79" t="s">
        <v>100</v>
      </c>
      <c r="AB14" s="79" t="s">
        <v>101</v>
      </c>
      <c r="AC14" s="79" t="s">
        <v>102</v>
      </c>
      <c r="AD14" s="79" t="s">
        <v>103</v>
      </c>
      <c r="AE14" s="79" t="s">
        <v>104</v>
      </c>
      <c r="AF14" s="79" t="s">
        <v>105</v>
      </c>
      <c r="AG14" s="80" t="s">
        <v>107</v>
      </c>
      <c r="AH14" s="79" t="s">
        <v>108</v>
      </c>
      <c r="AI14" s="80" t="s">
        <v>144</v>
      </c>
    </row>
    <row r="15" spans="1:41" x14ac:dyDescent="0.35">
      <c r="A15" t="s">
        <v>145</v>
      </c>
      <c r="B15" s="53">
        <f>Y15*70%</f>
        <v>6158.6441279999999</v>
      </c>
      <c r="C15" s="48">
        <f>B15/$B$11</f>
        <v>6.9004415999999999E-2</v>
      </c>
      <c r="D15" s="71">
        <f>Y16</f>
        <v>6272.1</v>
      </c>
      <c r="E15" s="76">
        <f>D15/$D$11</f>
        <v>6.9000000000000006E-2</v>
      </c>
      <c r="F15" s="68"/>
      <c r="G15" s="77"/>
      <c r="H15" s="74">
        <f t="shared" ref="H15:H17" si="2">B15+D15</f>
        <v>12430.744128</v>
      </c>
      <c r="I15" s="75">
        <f>H15/$H$11</f>
        <v>6.900218777685263E-2</v>
      </c>
      <c r="P15" s="81">
        <v>900473</v>
      </c>
      <c r="Q15" s="82" t="s">
        <v>122</v>
      </c>
      <c r="R15" s="83" t="s">
        <v>123</v>
      </c>
      <c r="S15" s="83" t="s">
        <v>118</v>
      </c>
      <c r="T15" s="84" t="s">
        <v>124</v>
      </c>
      <c r="U15" s="85">
        <v>127500</v>
      </c>
      <c r="V15" s="86">
        <v>650</v>
      </c>
      <c r="W15" s="87">
        <v>-4826.8080912000005</v>
      </c>
      <c r="X15" s="87">
        <v>2500.16</v>
      </c>
      <c r="Y15" s="88">
        <v>8798.0630400000009</v>
      </c>
      <c r="Z15" s="89">
        <v>233.76</v>
      </c>
      <c r="AA15" s="89">
        <v>474.84000000000003</v>
      </c>
      <c r="AB15" s="89">
        <v>72.36</v>
      </c>
      <c r="AC15" s="86">
        <v>479.96</v>
      </c>
      <c r="AD15" s="90">
        <v>20910</v>
      </c>
      <c r="AE15" s="91">
        <v>15</v>
      </c>
      <c r="AF15" s="90">
        <v>863.46</v>
      </c>
      <c r="AG15" s="86">
        <v>888</v>
      </c>
      <c r="AH15" s="88">
        <v>9539.4973610232009</v>
      </c>
      <c r="AI15" s="89">
        <v>1500</v>
      </c>
    </row>
    <row r="16" spans="1:41" x14ac:dyDescent="0.35">
      <c r="A16" t="s">
        <v>146</v>
      </c>
      <c r="B16" s="53">
        <f>1500*70%</f>
        <v>1050</v>
      </c>
      <c r="C16" s="48">
        <f>B16/$B$11</f>
        <v>1.1764705882352941E-2</v>
      </c>
      <c r="D16" s="71">
        <f>1500</f>
        <v>1500</v>
      </c>
      <c r="E16" s="76">
        <f>D16/$D$11</f>
        <v>1.65016501650165E-2</v>
      </c>
      <c r="F16" s="68"/>
      <c r="G16" s="77"/>
      <c r="H16" s="74">
        <f t="shared" si="2"/>
        <v>2550</v>
      </c>
      <c r="I16" s="75">
        <f>H16/$H$11</f>
        <v>1.4154870940882597E-2</v>
      </c>
      <c r="P16" s="92">
        <v>999988</v>
      </c>
      <c r="Q16" s="93" t="s">
        <v>133</v>
      </c>
      <c r="R16" s="93" t="s">
        <v>134</v>
      </c>
      <c r="S16" s="93" t="s">
        <v>135</v>
      </c>
      <c r="T16" s="84" t="s">
        <v>124</v>
      </c>
      <c r="U16" s="94">
        <v>90000</v>
      </c>
      <c r="V16" s="94">
        <v>650</v>
      </c>
      <c r="W16" s="95">
        <v>-3652.7843999999996</v>
      </c>
      <c r="X16" s="96">
        <v>900</v>
      </c>
      <c r="Y16" s="95">
        <v>6272.1</v>
      </c>
      <c r="Z16" s="97">
        <v>233.76</v>
      </c>
      <c r="AA16" s="97">
        <v>474.84000000000003</v>
      </c>
      <c r="AB16" s="97">
        <v>72.36</v>
      </c>
      <c r="AC16" s="98">
        <v>479.96</v>
      </c>
      <c r="AD16" s="99">
        <v>20910</v>
      </c>
      <c r="AE16" s="94">
        <v>15</v>
      </c>
      <c r="AF16" s="99">
        <v>863.46</v>
      </c>
      <c r="AG16" s="98">
        <v>888</v>
      </c>
      <c r="AH16" s="95">
        <v>6828.7859334000004</v>
      </c>
      <c r="AI16" s="100">
        <v>1500</v>
      </c>
    </row>
    <row r="17" spans="1:35" x14ac:dyDescent="0.35">
      <c r="A17" t="s">
        <v>147</v>
      </c>
      <c r="B17" s="54">
        <f>(V15+Z15+AA15+AC15+AE15+AG15)*70%</f>
        <v>1919.0919999999999</v>
      </c>
      <c r="C17" s="50">
        <f>B17/$B$11</f>
        <v>2.1502431372549018E-2</v>
      </c>
      <c r="D17" s="101">
        <f>(V16+Z16+AA16+AC16+AE16+AG16)</f>
        <v>2741.56</v>
      </c>
      <c r="E17" s="102">
        <f>D17/$D$11</f>
        <v>3.0160176017601761E-2</v>
      </c>
      <c r="F17" s="103"/>
      <c r="G17" s="104"/>
      <c r="H17" s="74">
        <f t="shared" si="2"/>
        <v>4660.652</v>
      </c>
      <c r="I17" s="75">
        <f>H17/$H$11</f>
        <v>2.5870951984457397E-2</v>
      </c>
      <c r="P17" s="92">
        <v>999987</v>
      </c>
      <c r="Q17" s="93" t="s">
        <v>137</v>
      </c>
      <c r="R17" s="93" t="s">
        <v>138</v>
      </c>
      <c r="S17" s="93" t="s">
        <v>135</v>
      </c>
      <c r="T17" s="84" t="s">
        <v>124</v>
      </c>
      <c r="U17" s="94">
        <v>70000</v>
      </c>
      <c r="V17" s="94">
        <v>650</v>
      </c>
      <c r="W17" s="95">
        <v>-3004.9703999999997</v>
      </c>
      <c r="X17" s="96">
        <v>700</v>
      </c>
      <c r="Y17" s="95">
        <v>4878.3</v>
      </c>
      <c r="Z17" s="97">
        <v>233.76</v>
      </c>
      <c r="AA17" s="97">
        <v>474.84000000000003</v>
      </c>
      <c r="AB17" s="97">
        <v>72.36</v>
      </c>
      <c r="AC17" s="98">
        <v>479.96</v>
      </c>
      <c r="AD17" s="99">
        <v>20910</v>
      </c>
      <c r="AE17" s="94">
        <v>15</v>
      </c>
      <c r="AF17" s="99">
        <v>863.46</v>
      </c>
      <c r="AG17" s="98">
        <v>888</v>
      </c>
      <c r="AH17" s="95">
        <v>5333.0437044</v>
      </c>
      <c r="AI17" s="100">
        <v>1500</v>
      </c>
    </row>
    <row r="18" spans="1:35" x14ac:dyDescent="0.35">
      <c r="A18" t="s">
        <v>148</v>
      </c>
      <c r="B18" s="105">
        <f>SUM(B13:B17)</f>
        <v>31097.458280716241</v>
      </c>
      <c r="C18" s="106">
        <f>B18/B11</f>
        <v>0.34843090510606434</v>
      </c>
      <c r="D18" s="107">
        <f>SUM(D13:D17)</f>
        <v>39188.265933399998</v>
      </c>
      <c r="E18" s="108">
        <f>D18/D11</f>
        <v>0.43111403667106707</v>
      </c>
      <c r="F18" s="109"/>
      <c r="G18" s="109"/>
      <c r="H18" s="110">
        <f>SUM(H13:H17)</f>
        <v>70285.724214116242</v>
      </c>
      <c r="I18" s="111">
        <f>H18/H11</f>
        <v>0.39015111970089505</v>
      </c>
    </row>
    <row r="19" spans="1:35" x14ac:dyDescent="0.35">
      <c r="B19" s="40"/>
      <c r="AI19" s="52"/>
    </row>
    <row r="20" spans="1:35" x14ac:dyDescent="0.35">
      <c r="A20" s="61" t="s">
        <v>90</v>
      </c>
    </row>
    <row r="21" spans="1:35" x14ac:dyDescent="0.35">
      <c r="B21" s="173" t="s">
        <v>125</v>
      </c>
      <c r="C21" s="173"/>
      <c r="D21" s="174" t="s">
        <v>126</v>
      </c>
      <c r="E21" s="174"/>
      <c r="F21" s="175" t="s">
        <v>127</v>
      </c>
      <c r="G21" s="175"/>
      <c r="H21" s="176" t="s">
        <v>94</v>
      </c>
      <c r="I21" s="176"/>
    </row>
    <row r="22" spans="1:35" x14ac:dyDescent="0.35">
      <c r="B22" s="51" t="s">
        <v>131</v>
      </c>
      <c r="C22" s="51" t="s">
        <v>132</v>
      </c>
      <c r="D22" s="62" t="s">
        <v>131</v>
      </c>
      <c r="E22" s="62" t="s">
        <v>132</v>
      </c>
      <c r="F22" s="63" t="s">
        <v>131</v>
      </c>
      <c r="G22" s="63" t="s">
        <v>132</v>
      </c>
      <c r="H22" s="64" t="s">
        <v>131</v>
      </c>
      <c r="I22" s="64" t="s">
        <v>132</v>
      </c>
    </row>
    <row r="23" spans="1:35" x14ac:dyDescent="0.35">
      <c r="A23" t="s">
        <v>136</v>
      </c>
      <c r="B23" s="65">
        <f>B10*103%</f>
        <v>131325</v>
      </c>
      <c r="C23" s="49"/>
      <c r="D23" s="66">
        <f>D10*103%</f>
        <v>93627</v>
      </c>
      <c r="E23" s="67"/>
      <c r="F23" s="112">
        <v>80000</v>
      </c>
      <c r="G23" s="69"/>
      <c r="H23" s="64"/>
      <c r="I23" s="64"/>
    </row>
    <row r="24" spans="1:35" x14ac:dyDescent="0.35">
      <c r="A24" t="s">
        <v>139</v>
      </c>
      <c r="B24" s="65">
        <f>B23*70%</f>
        <v>91927.5</v>
      </c>
      <c r="C24" s="49">
        <f>B24/B23</f>
        <v>0.7</v>
      </c>
      <c r="D24" s="66">
        <f>D23</f>
        <v>93627</v>
      </c>
      <c r="E24" s="67"/>
      <c r="F24" s="112">
        <f>F23</f>
        <v>80000</v>
      </c>
      <c r="G24" s="69"/>
      <c r="H24" s="70">
        <f>B24+D24+F24</f>
        <v>265554.5</v>
      </c>
      <c r="I24" s="64"/>
    </row>
    <row r="25" spans="1:35" x14ac:dyDescent="0.35">
      <c r="A25" s="47" t="s">
        <v>140</v>
      </c>
      <c r="B25" s="65"/>
      <c r="C25" s="49"/>
      <c r="D25" s="71"/>
      <c r="E25" s="67"/>
      <c r="F25" s="68"/>
      <c r="G25" s="69"/>
      <c r="H25" s="64"/>
      <c r="I25" s="64"/>
    </row>
    <row r="26" spans="1:35" x14ac:dyDescent="0.35">
      <c r="A26" t="s">
        <v>141</v>
      </c>
      <c r="B26" s="53">
        <f>B24*6.75%</f>
        <v>6205.1062500000007</v>
      </c>
      <c r="C26" s="48">
        <f>B26/$B$24</f>
        <v>6.7500000000000004E-2</v>
      </c>
      <c r="D26" s="71">
        <f>D23*6.75%</f>
        <v>6319.8225000000002</v>
      </c>
      <c r="E26" s="72">
        <f>D26/$D$24</f>
        <v>6.7500000000000004E-2</v>
      </c>
      <c r="F26" s="68">
        <f>F23*6.75%</f>
        <v>5400</v>
      </c>
      <c r="G26" s="73">
        <f>F26/$D$11</f>
        <v>5.9405940594059403E-2</v>
      </c>
      <c r="H26" s="74">
        <f>B26+D26+F26</f>
        <v>17924.928749999999</v>
      </c>
      <c r="I26" s="75">
        <f>H26/$H$24</f>
        <v>6.7499999999999991E-2</v>
      </c>
    </row>
    <row r="27" spans="1:35" x14ac:dyDescent="0.35">
      <c r="A27" t="s">
        <v>142</v>
      </c>
      <c r="B27" s="53">
        <f>B14*103%</f>
        <v>15750.836219999999</v>
      </c>
      <c r="C27" s="48">
        <f>B27/$B$24</f>
        <v>0.17133976470588236</v>
      </c>
      <c r="D27" s="71">
        <f>D14*103%</f>
        <v>22501.194599999999</v>
      </c>
      <c r="E27" s="72">
        <f>D27/$D$24</f>
        <v>0.24032805280528052</v>
      </c>
      <c r="F27" s="68">
        <f>(AD17+AF17)*103%</f>
        <v>22426.663799999998</v>
      </c>
      <c r="G27" s="77">
        <f>F27/$D$11</f>
        <v>0.24671797359735972</v>
      </c>
      <c r="H27" s="74">
        <f t="shared" ref="H27:H30" si="3">B27+D27+F27</f>
        <v>60678.694619999995</v>
      </c>
      <c r="I27" s="75">
        <f>H27/$H$24</f>
        <v>0.22849808464929042</v>
      </c>
    </row>
    <row r="28" spans="1:35" x14ac:dyDescent="0.35">
      <c r="A28" t="s">
        <v>145</v>
      </c>
      <c r="B28" s="53">
        <f>B24*6.8%</f>
        <v>6251.0700000000006</v>
      </c>
      <c r="C28" s="48">
        <f>B28/$B$24</f>
        <v>6.8000000000000005E-2</v>
      </c>
      <c r="D28" s="71">
        <f>D24*6.8%</f>
        <v>6366.6360000000004</v>
      </c>
      <c r="E28" s="72">
        <f>D28/$D$24</f>
        <v>6.8000000000000005E-2</v>
      </c>
      <c r="F28" s="68">
        <f>F23*6.8%</f>
        <v>5440</v>
      </c>
      <c r="G28" s="77">
        <f>F28/$D$11</f>
        <v>5.9845984598459849E-2</v>
      </c>
      <c r="H28" s="74">
        <f t="shared" si="3"/>
        <v>18057.706000000002</v>
      </c>
      <c r="I28" s="75">
        <f>H28/$H$24</f>
        <v>6.8000000000000005E-2</v>
      </c>
    </row>
    <row r="29" spans="1:35" x14ac:dyDescent="0.35">
      <c r="A29" t="s">
        <v>146</v>
      </c>
      <c r="B29" s="53">
        <f>B16*103%</f>
        <v>1081.5</v>
      </c>
      <c r="C29" s="48">
        <f>B29/$B$24</f>
        <v>1.1764705882352941E-2</v>
      </c>
      <c r="D29" s="71">
        <f>D16*103%</f>
        <v>1545</v>
      </c>
      <c r="E29" s="72">
        <f>D29/$D$24</f>
        <v>1.65016501650165E-2</v>
      </c>
      <c r="F29" s="68">
        <v>1500</v>
      </c>
      <c r="G29" s="77">
        <f>F29/$D$11</f>
        <v>1.65016501650165E-2</v>
      </c>
      <c r="H29" s="74">
        <f t="shared" si="3"/>
        <v>4126.5</v>
      </c>
      <c r="I29" s="75">
        <f>H29/$H$24</f>
        <v>1.553918310553954E-2</v>
      </c>
    </row>
    <row r="30" spans="1:35" x14ac:dyDescent="0.35">
      <c r="A30" t="s">
        <v>147</v>
      </c>
      <c r="B30" s="54">
        <f>B17*103%</f>
        <v>1976.6647599999999</v>
      </c>
      <c r="C30" s="48">
        <f>B30/$B$24</f>
        <v>2.1502431372549018E-2</v>
      </c>
      <c r="D30" s="71">
        <f t="shared" ref="D30" si="4">D17*103%</f>
        <v>2823.8067999999998</v>
      </c>
      <c r="E30" s="72">
        <f>D30/$D$24</f>
        <v>3.0160176017601757E-2</v>
      </c>
      <c r="F30" s="103">
        <f>(V17+Z17+AA17+AC17+AE17+AG17)*103%</f>
        <v>2823.8067999999998</v>
      </c>
      <c r="G30" s="104">
        <f>F30/$D$11</f>
        <v>3.1064981298129811E-2</v>
      </c>
      <c r="H30" s="74">
        <f t="shared" si="3"/>
        <v>7624.2783600000002</v>
      </c>
      <c r="I30" s="75">
        <f>H30/$H$24</f>
        <v>2.8710785770905786E-2</v>
      </c>
    </row>
    <row r="31" spans="1:35" x14ac:dyDescent="0.35">
      <c r="A31" t="s">
        <v>148</v>
      </c>
      <c r="B31" s="105">
        <f>SUM(B26:B30)</f>
        <v>31265.177230000001</v>
      </c>
      <c r="C31" s="106">
        <f>B31/B24</f>
        <v>0.3401069019607843</v>
      </c>
      <c r="D31" s="107">
        <f>SUM(D26:D30)</f>
        <v>39556.459899999994</v>
      </c>
      <c r="E31" s="108">
        <f>D31/D24</f>
        <v>0.42248987898789875</v>
      </c>
      <c r="F31" s="113">
        <f>SUM(F26:F30)</f>
        <v>37590.470599999993</v>
      </c>
      <c r="G31" s="114">
        <f>F31/F24</f>
        <v>0.46988088249999993</v>
      </c>
      <c r="H31" s="115">
        <f>SUM(H26:H30)</f>
        <v>108412.10772999999</v>
      </c>
      <c r="I31" s="111">
        <f>H31/H24</f>
        <v>0.40824805352573573</v>
      </c>
    </row>
    <row r="32" spans="1:35" x14ac:dyDescent="0.35">
      <c r="B32" s="116"/>
      <c r="C32" s="49"/>
      <c r="D32" s="67"/>
      <c r="E32" s="67"/>
    </row>
    <row r="33" spans="1:9" x14ac:dyDescent="0.35">
      <c r="A33" s="61" t="s">
        <v>91</v>
      </c>
    </row>
    <row r="34" spans="1:9" x14ac:dyDescent="0.35">
      <c r="B34" s="173" t="s">
        <v>125</v>
      </c>
      <c r="C34" s="173"/>
      <c r="D34" s="174" t="s">
        <v>126</v>
      </c>
      <c r="E34" s="174"/>
      <c r="F34" s="175" t="s">
        <v>127</v>
      </c>
      <c r="G34" s="175"/>
      <c r="H34" s="176" t="s">
        <v>94</v>
      </c>
      <c r="I34" s="176"/>
    </row>
    <row r="35" spans="1:9" x14ac:dyDescent="0.35">
      <c r="B35" s="51" t="s">
        <v>131</v>
      </c>
      <c r="C35" s="51" t="s">
        <v>132</v>
      </c>
      <c r="D35" s="62" t="s">
        <v>131</v>
      </c>
      <c r="E35" s="62" t="s">
        <v>132</v>
      </c>
      <c r="F35" s="63" t="s">
        <v>131</v>
      </c>
      <c r="G35" s="63" t="s">
        <v>132</v>
      </c>
      <c r="H35" s="64" t="s">
        <v>131</v>
      </c>
      <c r="I35" s="64" t="s">
        <v>132</v>
      </c>
    </row>
    <row r="36" spans="1:9" x14ac:dyDescent="0.35">
      <c r="A36" t="s">
        <v>136</v>
      </c>
      <c r="B36" s="65">
        <f>B23*103%</f>
        <v>135264.75</v>
      </c>
      <c r="C36" s="49"/>
      <c r="D36" s="66">
        <f>D23*103%</f>
        <v>96435.81</v>
      </c>
      <c r="E36" s="67"/>
      <c r="F36" s="112">
        <f>F23*103%</f>
        <v>82400</v>
      </c>
      <c r="G36" s="69"/>
      <c r="H36" s="64"/>
      <c r="I36" s="64"/>
    </row>
    <row r="37" spans="1:9" x14ac:dyDescent="0.35">
      <c r="A37" t="s">
        <v>139</v>
      </c>
      <c r="B37" s="65">
        <f>B36*70%</f>
        <v>94685.324999999997</v>
      </c>
      <c r="C37" s="49">
        <f>B37/B36</f>
        <v>0.7</v>
      </c>
      <c r="D37" s="66">
        <f>D36</f>
        <v>96435.81</v>
      </c>
      <c r="E37" s="67"/>
      <c r="F37" s="112">
        <f>F36</f>
        <v>82400</v>
      </c>
      <c r="G37" s="69"/>
      <c r="H37" s="70">
        <f>B37+D37+F37</f>
        <v>273521.13500000001</v>
      </c>
      <c r="I37" s="64"/>
    </row>
    <row r="38" spans="1:9" x14ac:dyDescent="0.35">
      <c r="A38" s="47" t="s">
        <v>140</v>
      </c>
      <c r="B38" s="65"/>
      <c r="C38" s="49"/>
      <c r="D38" s="71"/>
      <c r="E38" s="67"/>
      <c r="F38" s="68"/>
      <c r="G38" s="69"/>
      <c r="H38" s="64"/>
      <c r="I38" s="64"/>
    </row>
    <row r="39" spans="1:9" x14ac:dyDescent="0.35">
      <c r="A39" t="s">
        <v>141</v>
      </c>
      <c r="B39" s="53">
        <f>B37*6.75%</f>
        <v>6391.2594374999999</v>
      </c>
      <c r="C39" s="48">
        <f>B39/$B$11</f>
        <v>7.1610750000000001E-2</v>
      </c>
      <c r="D39" s="71">
        <f>D37*6.75%</f>
        <v>6509.4171750000005</v>
      </c>
      <c r="E39" s="72">
        <f>D39/$D$11</f>
        <v>7.1610750000000001E-2</v>
      </c>
      <c r="F39" s="68">
        <f>F37*6.75%</f>
        <v>5562</v>
      </c>
      <c r="G39" s="73">
        <f>F39/$D$11</f>
        <v>6.1188118811881187E-2</v>
      </c>
      <c r="H39" s="74">
        <f>B39+D39+F39</f>
        <v>18462.676612499999</v>
      </c>
      <c r="I39" s="75">
        <f t="shared" ref="I39:I44" si="5">H39/$H$37</f>
        <v>6.7499999999999991E-2</v>
      </c>
    </row>
    <row r="40" spans="1:9" x14ac:dyDescent="0.35">
      <c r="A40" t="s">
        <v>142</v>
      </c>
      <c r="B40" s="53">
        <f t="shared" ref="B40:B43" si="6">B27*103%</f>
        <v>16223.3613066</v>
      </c>
      <c r="C40" s="48">
        <f>B40/$B$11</f>
        <v>0.18177435637647057</v>
      </c>
      <c r="D40" s="71">
        <f t="shared" ref="D40:D43" si="7">D27*103%</f>
        <v>23176.230437999999</v>
      </c>
      <c r="E40" s="76">
        <f>D40/$D$11</f>
        <v>0.2549640312211221</v>
      </c>
      <c r="F40" s="68">
        <f t="shared" ref="F40:F43" si="8">F27*103%</f>
        <v>23099.463713999998</v>
      </c>
      <c r="G40" s="77">
        <f>F40/$D$11</f>
        <v>0.2541195128052805</v>
      </c>
      <c r="H40" s="74">
        <f t="shared" ref="H40:H43" si="9">B40+D40+F40</f>
        <v>62499.055458599993</v>
      </c>
      <c r="I40" s="75">
        <f t="shared" si="5"/>
        <v>0.22849808464929042</v>
      </c>
    </row>
    <row r="41" spans="1:9" x14ac:dyDescent="0.35">
      <c r="A41" t="s">
        <v>145</v>
      </c>
      <c r="B41" s="53">
        <f>B37*6.8%</f>
        <v>6438.6021000000001</v>
      </c>
      <c r="C41" s="48">
        <f>B41/$B$11</f>
        <v>7.2141200000000003E-2</v>
      </c>
      <c r="D41" s="71">
        <f>D37*6.8%</f>
        <v>6557.63508</v>
      </c>
      <c r="E41" s="76">
        <f>D41/$D$11</f>
        <v>7.2141200000000003E-2</v>
      </c>
      <c r="F41" s="68">
        <f>F37*6.8%</f>
        <v>5603.2000000000007</v>
      </c>
      <c r="G41" s="77">
        <f>F41/$D$11</f>
        <v>6.1641364136413648E-2</v>
      </c>
      <c r="H41" s="74">
        <f t="shared" si="9"/>
        <v>18599.437180000001</v>
      </c>
      <c r="I41" s="75">
        <f t="shared" si="5"/>
        <v>6.8000000000000005E-2</v>
      </c>
    </row>
    <row r="42" spans="1:9" x14ac:dyDescent="0.35">
      <c r="A42" t="s">
        <v>146</v>
      </c>
      <c r="B42" s="53">
        <f t="shared" si="6"/>
        <v>1113.9449999999999</v>
      </c>
      <c r="C42" s="48">
        <f>B42/$B$11</f>
        <v>1.2481176470588235E-2</v>
      </c>
      <c r="D42" s="71">
        <f t="shared" si="7"/>
        <v>1591.3500000000001</v>
      </c>
      <c r="E42" s="76">
        <f>D42/$D$11</f>
        <v>1.7506600660066009E-2</v>
      </c>
      <c r="F42" s="68">
        <f t="shared" si="8"/>
        <v>1545</v>
      </c>
      <c r="G42" s="77">
        <f>F42/$D$11</f>
        <v>1.6996699669966996E-2</v>
      </c>
      <c r="H42" s="74">
        <f t="shared" si="9"/>
        <v>4250.2950000000001</v>
      </c>
      <c r="I42" s="75">
        <f t="shared" si="5"/>
        <v>1.553918310553954E-2</v>
      </c>
    </row>
    <row r="43" spans="1:9" x14ac:dyDescent="0.35">
      <c r="A43" t="s">
        <v>147</v>
      </c>
      <c r="B43" s="53">
        <f t="shared" si="6"/>
        <v>2035.9647027999999</v>
      </c>
      <c r="C43" s="50">
        <f>B43/$B$11</f>
        <v>2.2811929443137254E-2</v>
      </c>
      <c r="D43" s="71">
        <f t="shared" si="7"/>
        <v>2908.5210039999997</v>
      </c>
      <c r="E43" s="102">
        <f>D43/$D$11</f>
        <v>3.1996930737073707E-2</v>
      </c>
      <c r="F43" s="68">
        <f t="shared" si="8"/>
        <v>2908.5210039999997</v>
      </c>
      <c r="G43" s="104">
        <f>F43/$D$11</f>
        <v>3.1996930737073707E-2</v>
      </c>
      <c r="H43" s="74">
        <f t="shared" si="9"/>
        <v>7853.0067108000003</v>
      </c>
      <c r="I43" s="117">
        <f t="shared" si="5"/>
        <v>2.8710785770905783E-2</v>
      </c>
    </row>
    <row r="44" spans="1:9" x14ac:dyDescent="0.35">
      <c r="A44" t="s">
        <v>148</v>
      </c>
      <c r="B44" s="105">
        <f>SUM(B39:B43)</f>
        <v>32203.1325469</v>
      </c>
      <c r="C44" s="106">
        <f>B44/B37</f>
        <v>0.3401069019607843</v>
      </c>
      <c r="D44" s="107">
        <f>SUM(D39:D43)</f>
        <v>40743.153697000002</v>
      </c>
      <c r="E44" s="108">
        <f>D44/D37</f>
        <v>0.4224898789878988</v>
      </c>
      <c r="F44" s="118">
        <f>SUM(F39:F43)</f>
        <v>38718.184717999997</v>
      </c>
      <c r="G44" s="119">
        <f>F44/F37</f>
        <v>0.46988088249999999</v>
      </c>
      <c r="H44" s="110">
        <f>SUM(H39:H43)</f>
        <v>111664.47096189999</v>
      </c>
      <c r="I44" s="75">
        <f t="shared" si="5"/>
        <v>0.40824805352573573</v>
      </c>
    </row>
    <row r="46" spans="1:9" x14ac:dyDescent="0.35">
      <c r="A46" s="61" t="s">
        <v>92</v>
      </c>
    </row>
    <row r="47" spans="1:9" x14ac:dyDescent="0.35">
      <c r="B47" s="173" t="s">
        <v>125</v>
      </c>
      <c r="C47" s="173"/>
      <c r="D47" s="174" t="s">
        <v>126</v>
      </c>
      <c r="E47" s="174"/>
      <c r="F47" s="175" t="s">
        <v>127</v>
      </c>
      <c r="G47" s="175"/>
      <c r="H47" s="176" t="s">
        <v>94</v>
      </c>
      <c r="I47" s="176"/>
    </row>
    <row r="48" spans="1:9" x14ac:dyDescent="0.35">
      <c r="B48" s="51" t="s">
        <v>131</v>
      </c>
      <c r="C48" s="51" t="s">
        <v>132</v>
      </c>
      <c r="D48" s="62" t="s">
        <v>131</v>
      </c>
      <c r="E48" s="62" t="s">
        <v>132</v>
      </c>
      <c r="F48" s="63" t="s">
        <v>131</v>
      </c>
      <c r="G48" s="63" t="s">
        <v>132</v>
      </c>
      <c r="H48" s="64" t="s">
        <v>131</v>
      </c>
      <c r="I48" s="64" t="s">
        <v>132</v>
      </c>
    </row>
    <row r="49" spans="1:9" x14ac:dyDescent="0.35">
      <c r="A49" t="s">
        <v>136</v>
      </c>
      <c r="B49" s="65">
        <f>B36*103%</f>
        <v>139322.6925</v>
      </c>
      <c r="C49" s="49"/>
      <c r="D49" s="66">
        <f>D36*103%</f>
        <v>99328.884300000005</v>
      </c>
      <c r="E49" s="67"/>
      <c r="F49" s="112">
        <f>F36*103%</f>
        <v>84872</v>
      </c>
      <c r="G49" s="69"/>
      <c r="H49" s="64"/>
      <c r="I49" s="64"/>
    </row>
    <row r="50" spans="1:9" x14ac:dyDescent="0.35">
      <c r="A50" t="s">
        <v>139</v>
      </c>
      <c r="B50" s="65">
        <f>B49*70%</f>
        <v>97525.884749999997</v>
      </c>
      <c r="C50" s="49">
        <f>B50/B49</f>
        <v>0.7</v>
      </c>
      <c r="D50" s="66">
        <f>D49</f>
        <v>99328.884300000005</v>
      </c>
      <c r="E50" s="67"/>
      <c r="F50" s="112">
        <f>F49</f>
        <v>84872</v>
      </c>
      <c r="G50" s="69"/>
      <c r="H50" s="70">
        <f>B50+D50+F50</f>
        <v>281726.76905</v>
      </c>
      <c r="I50" s="64"/>
    </row>
    <row r="51" spans="1:9" x14ac:dyDescent="0.35">
      <c r="A51" s="47" t="s">
        <v>140</v>
      </c>
      <c r="B51" s="65"/>
      <c r="C51" s="49"/>
      <c r="D51" s="71"/>
      <c r="E51" s="67"/>
      <c r="F51" s="68"/>
      <c r="G51" s="69"/>
      <c r="H51" s="64"/>
      <c r="I51" s="64"/>
    </row>
    <row r="52" spans="1:9" x14ac:dyDescent="0.35">
      <c r="A52" t="s">
        <v>141</v>
      </c>
      <c r="B52" s="53">
        <f>B50*6.75%</f>
        <v>6582.9972206250004</v>
      </c>
      <c r="C52" s="48">
        <f>B52/$B$11</f>
        <v>7.3759072500000009E-2</v>
      </c>
      <c r="D52" s="71">
        <f>D50*6.75%</f>
        <v>6704.6996902500005</v>
      </c>
      <c r="E52" s="72">
        <f>D52/$D$11</f>
        <v>7.3759072500000009E-2</v>
      </c>
      <c r="F52" s="68">
        <f>F50*6.75%</f>
        <v>5728.8600000000006</v>
      </c>
      <c r="G52" s="73">
        <f>F52/$D$11</f>
        <v>6.3023762376237635E-2</v>
      </c>
      <c r="H52" s="74">
        <f>B52+D52+F52</f>
        <v>19016.556910875002</v>
      </c>
      <c r="I52" s="75">
        <f t="shared" ref="I52:I57" si="10">H52/$H$50</f>
        <v>6.7500000000000004E-2</v>
      </c>
    </row>
    <row r="53" spans="1:9" x14ac:dyDescent="0.35">
      <c r="A53" t="s">
        <v>142</v>
      </c>
      <c r="B53" s="53">
        <f t="shared" ref="B53:B56" si="11">B40*103%</f>
        <v>16710.062145798001</v>
      </c>
      <c r="C53" s="48">
        <f>B53/$B$11</f>
        <v>0.18722758706776471</v>
      </c>
      <c r="D53" s="71">
        <f t="shared" ref="D53:D56" si="12">D40*103%</f>
        <v>23871.517351139999</v>
      </c>
      <c r="E53" s="76">
        <f>D53/$D$11</f>
        <v>0.26261295215775576</v>
      </c>
      <c r="F53" s="68">
        <f t="shared" ref="F53:F56" si="13">F40*103%</f>
        <v>23792.447625419998</v>
      </c>
      <c r="G53" s="77">
        <f>F53/$D$11</f>
        <v>0.26174309818943892</v>
      </c>
      <c r="H53" s="74">
        <f t="shared" ref="H53:H56" si="14">B53+D53+F53</f>
        <v>64374.027122357998</v>
      </c>
      <c r="I53" s="75">
        <f t="shared" si="10"/>
        <v>0.22849808464929044</v>
      </c>
    </row>
    <row r="54" spans="1:9" x14ac:dyDescent="0.35">
      <c r="A54" t="s">
        <v>145</v>
      </c>
      <c r="B54" s="53">
        <f>B50*6.8%</f>
        <v>6631.7601629999999</v>
      </c>
      <c r="C54" s="48">
        <f>B54/$B$11</f>
        <v>7.4305436000000002E-2</v>
      </c>
      <c r="D54" s="71">
        <f>D50*6.8%</f>
        <v>6754.3641324000009</v>
      </c>
      <c r="E54" s="76">
        <f>D54/$D$11</f>
        <v>7.4305436000000016E-2</v>
      </c>
      <c r="F54" s="68">
        <f>F50*6.8%</f>
        <v>5771.2960000000003</v>
      </c>
      <c r="G54" s="77">
        <f>F54/$D$11</f>
        <v>6.349060506050605E-2</v>
      </c>
      <c r="H54" s="74">
        <f t="shared" si="14"/>
        <v>19157.420295399999</v>
      </c>
      <c r="I54" s="75">
        <f t="shared" si="10"/>
        <v>6.7999999999999991E-2</v>
      </c>
    </row>
    <row r="55" spans="1:9" x14ac:dyDescent="0.35">
      <c r="A55" t="s">
        <v>146</v>
      </c>
      <c r="B55" s="53">
        <f t="shared" si="11"/>
        <v>1147.3633499999999</v>
      </c>
      <c r="C55" s="48">
        <f>B55/$B$11</f>
        <v>1.2855611764705881E-2</v>
      </c>
      <c r="D55" s="71">
        <f t="shared" si="12"/>
        <v>1639.0905000000002</v>
      </c>
      <c r="E55" s="76">
        <f>D55/$D$11</f>
        <v>1.803179867986799E-2</v>
      </c>
      <c r="F55" s="68">
        <f t="shared" si="13"/>
        <v>1591.3500000000001</v>
      </c>
      <c r="G55" s="77">
        <f>F55/$D$11</f>
        <v>1.7506600660066009E-2</v>
      </c>
      <c r="H55" s="74">
        <f t="shared" si="14"/>
        <v>4377.8038500000002</v>
      </c>
      <c r="I55" s="75">
        <f t="shared" si="10"/>
        <v>1.5539183105539542E-2</v>
      </c>
    </row>
    <row r="56" spans="1:9" x14ac:dyDescent="0.35">
      <c r="A56" t="s">
        <v>147</v>
      </c>
      <c r="B56" s="53">
        <f t="shared" si="11"/>
        <v>2097.0436438840002</v>
      </c>
      <c r="C56" s="50">
        <f>B56/$B$11</f>
        <v>2.3496287326431376E-2</v>
      </c>
      <c r="D56" s="71">
        <f t="shared" si="12"/>
        <v>2995.7766341199999</v>
      </c>
      <c r="E56" s="102">
        <f>D56/$D$11</f>
        <v>3.2956838659185916E-2</v>
      </c>
      <c r="F56" s="68">
        <f t="shared" si="13"/>
        <v>2995.7766341199999</v>
      </c>
      <c r="G56" s="104">
        <f>F56/$D$11</f>
        <v>3.2956838659185916E-2</v>
      </c>
      <c r="H56" s="74">
        <f t="shared" si="14"/>
        <v>8088.5969121239996</v>
      </c>
      <c r="I56" s="117">
        <f t="shared" si="10"/>
        <v>2.8710785770905783E-2</v>
      </c>
    </row>
    <row r="57" spans="1:9" x14ac:dyDescent="0.35">
      <c r="A57" t="s">
        <v>148</v>
      </c>
      <c r="B57" s="105">
        <f>SUM(B52:B56)</f>
        <v>33169.226523306999</v>
      </c>
      <c r="C57" s="106">
        <f>B57/B50</f>
        <v>0.3401069019607843</v>
      </c>
      <c r="D57" s="107">
        <f>SUM(D52:D56)</f>
        <v>41965.448307909995</v>
      </c>
      <c r="E57" s="108">
        <f>D57/D50</f>
        <v>0.42248987898789875</v>
      </c>
      <c r="F57" s="118">
        <f>SUM(F52:F56)</f>
        <v>39879.730259539996</v>
      </c>
      <c r="G57" s="114">
        <f>F57/F50</f>
        <v>0.46988088249999993</v>
      </c>
      <c r="H57" s="110">
        <f>SUM(H52:H56)</f>
        <v>115014.40509075699</v>
      </c>
      <c r="I57" s="75">
        <f t="shared" si="10"/>
        <v>0.40824805352573573</v>
      </c>
    </row>
    <row r="59" spans="1:9" x14ac:dyDescent="0.35">
      <c r="A59" s="61" t="s">
        <v>93</v>
      </c>
    </row>
    <row r="60" spans="1:9" x14ac:dyDescent="0.35">
      <c r="B60" s="173" t="s">
        <v>125</v>
      </c>
      <c r="C60" s="173"/>
      <c r="D60" s="174" t="s">
        <v>126</v>
      </c>
      <c r="E60" s="174"/>
      <c r="F60" s="175" t="s">
        <v>127</v>
      </c>
      <c r="G60" s="175"/>
      <c r="H60" s="176" t="s">
        <v>94</v>
      </c>
      <c r="I60" s="176"/>
    </row>
    <row r="61" spans="1:9" x14ac:dyDescent="0.35">
      <c r="B61" s="51" t="s">
        <v>131</v>
      </c>
      <c r="C61" s="51" t="s">
        <v>132</v>
      </c>
      <c r="D61" s="62" t="s">
        <v>131</v>
      </c>
      <c r="E61" s="62" t="s">
        <v>132</v>
      </c>
      <c r="F61" s="63" t="s">
        <v>131</v>
      </c>
      <c r="G61" s="63" t="s">
        <v>132</v>
      </c>
      <c r="H61" s="64" t="s">
        <v>131</v>
      </c>
      <c r="I61" s="64" t="s">
        <v>132</v>
      </c>
    </row>
    <row r="62" spans="1:9" x14ac:dyDescent="0.35">
      <c r="A62" t="s">
        <v>136</v>
      </c>
      <c r="B62" s="65">
        <f>B49*103%</f>
        <v>143502.37327500002</v>
      </c>
      <c r="C62" s="49"/>
      <c r="D62" s="66">
        <f>D49*103%</f>
        <v>102308.75082900001</v>
      </c>
      <c r="E62" s="67"/>
      <c r="F62" s="112">
        <f>F49*103%</f>
        <v>87418.16</v>
      </c>
      <c r="G62" s="69"/>
      <c r="H62" s="64"/>
      <c r="I62" s="64"/>
    </row>
    <row r="63" spans="1:9" x14ac:dyDescent="0.35">
      <c r="A63" t="s">
        <v>139</v>
      </c>
      <c r="B63" s="65">
        <f>B62*70%</f>
        <v>100451.66129250001</v>
      </c>
      <c r="C63" s="49">
        <f>B63/B62</f>
        <v>0.7</v>
      </c>
      <c r="D63" s="66">
        <f>D62</f>
        <v>102308.75082900001</v>
      </c>
      <c r="E63" s="67"/>
      <c r="F63" s="112">
        <f>F62</f>
        <v>87418.16</v>
      </c>
      <c r="G63" s="69"/>
      <c r="H63" s="70">
        <f>B63+D63+F63</f>
        <v>290178.57212150004</v>
      </c>
      <c r="I63" s="64"/>
    </row>
    <row r="64" spans="1:9" x14ac:dyDescent="0.35">
      <c r="A64" s="47" t="s">
        <v>140</v>
      </c>
      <c r="B64" s="65"/>
      <c r="C64" s="49"/>
      <c r="D64" s="71"/>
      <c r="E64" s="67"/>
      <c r="F64" s="68"/>
      <c r="G64" s="69"/>
      <c r="H64" s="64"/>
      <c r="I64" s="64"/>
    </row>
    <row r="65" spans="1:9" x14ac:dyDescent="0.35">
      <c r="A65" t="s">
        <v>141</v>
      </c>
      <c r="B65" s="53">
        <f>B63*6.75%</f>
        <v>6780.487137243751</v>
      </c>
      <c r="C65" s="48">
        <f>B65/$B$11</f>
        <v>7.5971844675000011E-2</v>
      </c>
      <c r="D65" s="71">
        <f>D63*6.75%</f>
        <v>6905.8406809575008</v>
      </c>
      <c r="E65" s="72">
        <f>D65/$D$11</f>
        <v>7.5971844675000011E-2</v>
      </c>
      <c r="F65" s="68">
        <f>F63*6.75%</f>
        <v>5900.7258000000011</v>
      </c>
      <c r="G65" s="73">
        <f>F65/$D$11</f>
        <v>6.4914475247524764E-2</v>
      </c>
      <c r="H65" s="74">
        <f>B65+D65+F65</f>
        <v>19587.053618201251</v>
      </c>
      <c r="I65" s="75">
        <f t="shared" ref="I65:I70" si="15">H65/$H$63</f>
        <v>6.7499999999999991E-2</v>
      </c>
    </row>
    <row r="66" spans="1:9" x14ac:dyDescent="0.35">
      <c r="A66" t="s">
        <v>142</v>
      </c>
      <c r="B66" s="53">
        <f t="shared" ref="B66:B69" si="16">B53*103%</f>
        <v>17211.364010171943</v>
      </c>
      <c r="C66" s="48">
        <f>B66/$B$11</f>
        <v>0.19284441467979768</v>
      </c>
      <c r="D66" s="71">
        <f t="shared" ref="D66:D69" si="17">D53*103%</f>
        <v>24587.662871674198</v>
      </c>
      <c r="E66" s="76">
        <f>D66/$D$11</f>
        <v>0.27049134072248843</v>
      </c>
      <c r="F66" s="68">
        <f t="shared" ref="F66:F69" si="18">F53*103%</f>
        <v>24506.221054182599</v>
      </c>
      <c r="G66" s="77">
        <f>F66/$D$11</f>
        <v>0.2695953911351221</v>
      </c>
      <c r="H66" s="74">
        <f t="shared" ref="H66:H69" si="19">B66+D66+F66</f>
        <v>66305.24793602874</v>
      </c>
      <c r="I66" s="75">
        <f t="shared" si="15"/>
        <v>0.22849808464929042</v>
      </c>
    </row>
    <row r="67" spans="1:9" x14ac:dyDescent="0.35">
      <c r="A67" t="s">
        <v>145</v>
      </c>
      <c r="B67" s="53">
        <f>B63*6.8%</f>
        <v>6830.712967890001</v>
      </c>
      <c r="C67" s="48">
        <f>B67/$B$11</f>
        <v>7.6534599080000015E-2</v>
      </c>
      <c r="D67" s="71">
        <f>D63*6.8%</f>
        <v>6956.9950563720013</v>
      </c>
      <c r="E67" s="76">
        <f>D67/$D$11</f>
        <v>7.6534599080000015E-2</v>
      </c>
      <c r="F67" s="68">
        <f>F63*6.8%</f>
        <v>5944.4348800000007</v>
      </c>
      <c r="G67" s="77">
        <f>F67/$D$11</f>
        <v>6.5395323212321235E-2</v>
      </c>
      <c r="H67" s="74">
        <f t="shared" si="19"/>
        <v>19732.142904262004</v>
      </c>
      <c r="I67" s="75">
        <f t="shared" si="15"/>
        <v>6.8000000000000005E-2</v>
      </c>
    </row>
    <row r="68" spans="1:9" x14ac:dyDescent="0.35">
      <c r="A68" t="s">
        <v>146</v>
      </c>
      <c r="B68" s="53">
        <f t="shared" si="16"/>
        <v>1181.7842504999999</v>
      </c>
      <c r="C68" s="48">
        <f>B68/$B$11</f>
        <v>1.3241280117647058E-2</v>
      </c>
      <c r="D68" s="71">
        <f t="shared" si="17"/>
        <v>1688.2632150000004</v>
      </c>
      <c r="E68" s="76">
        <f>D68/$D$11</f>
        <v>1.8572752640264031E-2</v>
      </c>
      <c r="F68" s="68">
        <f t="shared" si="18"/>
        <v>1639.0905000000002</v>
      </c>
      <c r="G68" s="77">
        <f>F68/$D$11</f>
        <v>1.803179867986799E-2</v>
      </c>
      <c r="H68" s="74">
        <f t="shared" si="19"/>
        <v>4509.1379655000001</v>
      </c>
      <c r="I68" s="75">
        <f t="shared" si="15"/>
        <v>1.5539183105539539E-2</v>
      </c>
    </row>
    <row r="69" spans="1:9" x14ac:dyDescent="0.35">
      <c r="A69" t="s">
        <v>147</v>
      </c>
      <c r="B69" s="53">
        <f t="shared" si="16"/>
        <v>2159.9549532005203</v>
      </c>
      <c r="C69" s="50">
        <f>B69/$B$11</f>
        <v>2.4201175946224316E-2</v>
      </c>
      <c r="D69" s="71">
        <f t="shared" si="17"/>
        <v>3085.6499331435998</v>
      </c>
      <c r="E69" s="102">
        <f>D69/$D$11</f>
        <v>3.3945543818961497E-2</v>
      </c>
      <c r="F69" s="68">
        <f t="shared" si="18"/>
        <v>3085.6499331435998</v>
      </c>
      <c r="G69" s="104">
        <f>F69/$D$11</f>
        <v>3.3945543818961497E-2</v>
      </c>
      <c r="H69" s="74">
        <f t="shared" si="19"/>
        <v>8331.2548194877199</v>
      </c>
      <c r="I69" s="117">
        <f t="shared" si="15"/>
        <v>2.8710785770905779E-2</v>
      </c>
    </row>
    <row r="70" spans="1:9" x14ac:dyDescent="0.35">
      <c r="A70" t="s">
        <v>148</v>
      </c>
      <c r="B70" s="105">
        <f>SUM(B65:B69)</f>
        <v>34164.30331900622</v>
      </c>
      <c r="C70" s="106">
        <f>B70/B63</f>
        <v>0.34010690196078436</v>
      </c>
      <c r="D70" s="107">
        <f>SUM(D65:D69)</f>
        <v>43224.411757147296</v>
      </c>
      <c r="E70" s="108">
        <f>D70/D63</f>
        <v>0.42248987898789869</v>
      </c>
      <c r="F70" s="118">
        <f>SUM(F65:F69)</f>
        <v>41076.122167326197</v>
      </c>
      <c r="G70" s="114">
        <f>F70/F63</f>
        <v>0.46988088249999993</v>
      </c>
      <c r="H70" s="110">
        <f>SUM(H65:H69)</f>
        <v>118464.83724347971</v>
      </c>
      <c r="I70" s="75">
        <f t="shared" si="15"/>
        <v>0.40824805352573568</v>
      </c>
    </row>
    <row r="73" spans="1:9" x14ac:dyDescent="0.35">
      <c r="B73" s="39">
        <f>+SUM(B70,B57,B44,B31,B18)</f>
        <v>161899.29789992946</v>
      </c>
      <c r="C73" s="39"/>
      <c r="D73" s="39">
        <f t="shared" ref="D73:H73" si="20">+SUM(D70,D57,D44,D31,D18)</f>
        <v>204677.73959545727</v>
      </c>
      <c r="E73" s="39"/>
      <c r="F73" s="39">
        <f t="shared" si="20"/>
        <v>157264.50774486619</v>
      </c>
      <c r="G73" s="39"/>
      <c r="H73" s="39">
        <f t="shared" si="20"/>
        <v>523841.54524025292</v>
      </c>
    </row>
  </sheetData>
  <mergeCells count="20">
    <mergeCell ref="B8:C8"/>
    <mergeCell ref="D8:E8"/>
    <mergeCell ref="F8:G8"/>
    <mergeCell ref="H8:I8"/>
    <mergeCell ref="B21:C21"/>
    <mergeCell ref="D21:E21"/>
    <mergeCell ref="F21:G21"/>
    <mergeCell ref="H21:I21"/>
    <mergeCell ref="B60:C60"/>
    <mergeCell ref="D60:E60"/>
    <mergeCell ref="F60:G60"/>
    <mergeCell ref="H60:I60"/>
    <mergeCell ref="B34:C34"/>
    <mergeCell ref="D34:E34"/>
    <mergeCell ref="F34:G34"/>
    <mergeCell ref="H34:I34"/>
    <mergeCell ref="B47:C47"/>
    <mergeCell ref="D47:E47"/>
    <mergeCell ref="F47:G47"/>
    <mergeCell ref="H47:I4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EDCDocument" ma:contentTypeID="0x010100FE79E5AE2EF0064BAC08D6D73C0C06E900A437F06912D4A948BBA90CEF5D12A839" ma:contentTypeVersion="20" ma:contentTypeDescription="This is the base content type for all documents in the org" ma:contentTypeScope="" ma:versionID="89ee33544092191ac6bbd6df04340aa7">
  <xsd:schema xmlns:xsd="http://www.w3.org/2001/XMLSchema" xmlns:xs="http://www.w3.org/2001/XMLSchema" xmlns:p="http://schemas.microsoft.com/office/2006/metadata/properties" xmlns:ns2="e5294fd8-5040-41aa-ae08-659efe2cfdb7" xmlns:ns3="d3e8cb82-2e3c-427d-bef4-48a63310f145" targetNamespace="http://schemas.microsoft.com/office/2006/metadata/properties" ma:root="true" ma:fieldsID="48f01dae1c041832cd6e24d22561c888" ns2:_="" ns3:_="">
    <xsd:import namespace="e5294fd8-5040-41aa-ae08-659efe2cfdb7"/>
    <xsd:import namespace="d3e8cb82-2e3c-427d-bef4-48a63310f145"/>
    <xsd:element name="properties">
      <xsd:complexType>
        <xsd:sequence>
          <xsd:element name="documentManagement">
            <xsd:complexType>
              <xsd:all>
                <xsd:element ref="ns2:n0380766b5ae406a99339904276b3f7a" minOccurs="0"/>
                <xsd:element ref="ns2:TaxCatchAll" minOccurs="0"/>
                <xsd:element ref="ns2:TaxCatchAllLabe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94fd8-5040-41aa-ae08-659efe2cfdb7" elementFormDefault="qualified">
    <xsd:import namespace="http://schemas.microsoft.com/office/2006/documentManagement/types"/>
    <xsd:import namespace="http://schemas.microsoft.com/office/infopath/2007/PartnerControls"/>
    <xsd:element name="n0380766b5ae406a99339904276b3f7a" ma:index="8" nillable="true" ma:taxonomy="true" ma:internalName="n0380766b5ae406a99339904276b3f7a" ma:taxonomyFieldName="DocumentType" ma:displayName="DocumentType" ma:indexed="true" ma:readOnly="false" ma:default="" ma:fieldId="{70380766-b5ae-406a-9933-9904276b3f7a}" ma:sspId="e1402996-41b1-49f0-b66d-8c2b915b121c" ma:termSetId="49e965f2-6a4d-4b70-8e46-b7cff7aebc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b52625e1-089a-4c74-8d40-ffb287a39c3c}" ma:internalName="TaxCatchAll" ma:showField="CatchAllData" ma:web="d3e8cb82-2e3c-427d-bef4-48a63310f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52625e1-089a-4c74-8d40-ffb287a39c3c}" ma:internalName="TaxCatchAllLabel" ma:readOnly="true" ma:showField="CatchAllDataLabel" ma:web="d3e8cb82-2e3c-427d-bef4-48a63310f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8cb82-2e3c-427d-bef4-48a63310f145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e1402996-41b1-49f0-b66d-8c2b915b121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1402996-41b1-49f0-b66d-8c2b915b121c" ContentTypeId="0x010100FE79E5AE2EF0064BAC08D6D73C0C06E9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0380766b5ae406a99339904276b3f7a xmlns="e5294fd8-5040-41aa-ae08-659efe2cfdb7">
      <Terms xmlns="http://schemas.microsoft.com/office/infopath/2007/PartnerControls"/>
    </n0380766b5ae406a99339904276b3f7a>
    <TaxCatchAll xmlns="e5294fd8-5040-41aa-ae08-659efe2cfdb7" xsi:nil="true"/>
    <TaxKeywordTaxHTField xmlns="d3e8cb82-2e3c-427d-bef4-48a63310f145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A93E1194-3F72-4522-978C-0FD3AB2C1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294fd8-5040-41aa-ae08-659efe2cfdb7"/>
    <ds:schemaRef ds:uri="d3e8cb82-2e3c-427d-bef4-48a63310f1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CD291E-A744-4A18-A469-9F16118EA63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19FD1B9-7982-477B-AF7A-764C13140A1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4F4692-D3CC-4C4A-9DBC-FE06C7726A37}">
  <ds:schemaRefs>
    <ds:schemaRef ds:uri="http://schemas.microsoft.com/office/2006/metadata/properties"/>
    <ds:schemaRef ds:uri="http://schemas.microsoft.com/office/infopath/2007/PartnerControls"/>
    <ds:schemaRef ds:uri="e5294fd8-5040-41aa-ae08-659efe2cfdb7"/>
    <ds:schemaRef ds:uri="d3e8cb82-2e3c-427d-bef4-48a63310f145"/>
  </ds:schemaRefs>
</ds:datastoreItem>
</file>

<file path=docMetadata/LabelInfo.xml><?xml version="1.0" encoding="utf-8"?>
<clbl:labelList xmlns:clbl="http://schemas.microsoft.com/office/2020/mipLabelMetadata">
  <clbl:label id="{a4d0c603-9c7f-4293-b89c-a08c1a8eb571}" enabled="0" method="" siteId="{a4d0c603-9c7f-4293-b89c-a08c1a8eb5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PowerUp Wisconsin</vt:lpstr>
      <vt:lpstr>Fringe 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Sayu</dc:creator>
  <cp:keywords/>
  <dc:description/>
  <cp:lastModifiedBy>Francisco Sayu</cp:lastModifiedBy>
  <cp:revision/>
  <dcterms:created xsi:type="dcterms:W3CDTF">2024-10-07T03:45:42Z</dcterms:created>
  <dcterms:modified xsi:type="dcterms:W3CDTF">2025-06-24T18:59:32Z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0x010100FE79E5AE2EF0064BAC08D6D73C0C06E900A437F06912D4A948BBA90CEF5D12A839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DocumentType">
    <vt:lpwstr/>
  </property>
</Properties>
</file>