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madvirt07\Users\mbarthel\Desktop\WorkinProgress\RFPs\"/>
    </mc:Choice>
  </mc:AlternateContent>
  <xr:revisionPtr revIDLastSave="0" documentId="13_ncr:1_{658EAD32-D959-4D92-BD36-F8B3445F7A0B}" xr6:coauthVersionLast="47" xr6:coauthVersionMax="47" xr10:uidLastSave="{00000000-0000-0000-0000-000000000000}"/>
  <bookViews>
    <workbookView xWindow="34740" yWindow="-1080" windowWidth="21600" windowHeight="12795" firstSheet="2" activeTab="2" xr2:uid="{A12E9AE1-BCAE-4B7F-A4EC-96B49CBC25C5}"/>
  </bookViews>
  <sheets>
    <sheet name="Ratio calcs" sheetId="1" state="hidden" r:id="rId1"/>
    <sheet name="Eneration transfer" sheetId="2" state="hidden" r:id="rId2"/>
    <sheet name="Instructions" sheetId="6" r:id="rId3"/>
    <sheet name="Fund Manager Calcs (Primary)" sheetId="7" r:id="rId4"/>
    <sheet name="Fund Manager Calcs (Sidecar)" sheetId="8" r:id="rId5"/>
  </sheets>
  <definedNames>
    <definedName name="circ" localSheetId="3">'Fund Manager Calcs (Primary)'!$A$1</definedName>
    <definedName name="circ" localSheetId="4">'Fund Manager Calcs (Sidecar)'!$A$1</definedName>
    <definedName name="circ">'Ratio calcs'!$A$1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8" l="1"/>
  <c r="D6" i="8" s="1"/>
  <c r="C6" i="7"/>
  <c r="G13" i="8"/>
  <c r="G9" i="8" s="1"/>
  <c r="K9" i="8" s="1"/>
  <c r="C13" i="8"/>
  <c r="C15" i="8" s="1"/>
  <c r="D12" i="8"/>
  <c r="I9" i="8"/>
  <c r="D8" i="8"/>
  <c r="H8" i="8" s="1"/>
  <c r="D7" i="8"/>
  <c r="H7" i="8" s="1"/>
  <c r="H5" i="8"/>
  <c r="G5" i="8"/>
  <c r="D7" i="7"/>
  <c r="G7" i="7" s="1"/>
  <c r="F7" i="7" s="1"/>
  <c r="I7" i="7" s="1"/>
  <c r="G7" i="8" l="1"/>
  <c r="I7" i="8" s="1"/>
  <c r="G8" i="8"/>
  <c r="I8" i="8" s="1"/>
  <c r="D9" i="8"/>
  <c r="H6" i="8"/>
  <c r="K7" i="8"/>
  <c r="D13" i="8"/>
  <c r="H12" i="8"/>
  <c r="C18" i="8"/>
  <c r="K13" i="8"/>
  <c r="D6" i="7"/>
  <c r="D8" i="7"/>
  <c r="G8" i="7" s="1"/>
  <c r="F8" i="7" s="1"/>
  <c r="D10" i="7"/>
  <c r="G10" i="7" s="1"/>
  <c r="F10" i="7" s="1"/>
  <c r="D9" i="7"/>
  <c r="G9" i="7" s="1"/>
  <c r="F9" i="7" s="1"/>
  <c r="G5" i="7"/>
  <c r="F5" i="7"/>
  <c r="H10" i="1"/>
  <c r="H11" i="1"/>
  <c r="C20" i="1"/>
  <c r="H15" i="2"/>
  <c r="D11" i="7" l="1"/>
  <c r="K8" i="8"/>
  <c r="C21" i="8"/>
  <c r="D21" i="8" s="1"/>
  <c r="K18" i="8"/>
  <c r="C20" i="8"/>
  <c r="D20" i="8" s="1"/>
  <c r="C19" i="8"/>
  <c r="D19" i="8" s="1"/>
  <c r="D18" i="8"/>
  <c r="H13" i="8"/>
  <c r="G12" i="8"/>
  <c r="H9" i="8"/>
  <c r="G6" i="8"/>
  <c r="I8" i="7"/>
  <c r="G14" i="7"/>
  <c r="G6" i="7"/>
  <c r="J17" i="2"/>
  <c r="F15" i="2"/>
  <c r="G13" i="2"/>
  <c r="G8" i="2"/>
  <c r="C4" i="2"/>
  <c r="C5" i="2"/>
  <c r="D5" i="2"/>
  <c r="C6" i="2"/>
  <c r="D6" i="2"/>
  <c r="F6" i="2" s="1"/>
  <c r="G6" i="2" s="1"/>
  <c r="C7" i="2"/>
  <c r="D7" i="2"/>
  <c r="F7" i="2" s="1"/>
  <c r="G7" i="2" s="1"/>
  <c r="C8" i="2"/>
  <c r="D8" i="2"/>
  <c r="C10" i="2"/>
  <c r="D10" i="2"/>
  <c r="C11" i="2"/>
  <c r="D11" i="2"/>
  <c r="F11" i="2" s="1"/>
  <c r="G11" i="2" s="1"/>
  <c r="C12" i="2"/>
  <c r="D12" i="2"/>
  <c r="F12" i="2" s="1"/>
  <c r="G12" i="2" s="1"/>
  <c r="C13" i="2"/>
  <c r="D13" i="2"/>
  <c r="C15" i="2"/>
  <c r="D15" i="2"/>
  <c r="B6" i="2"/>
  <c r="B7" i="2"/>
  <c r="B8" i="2"/>
  <c r="B10" i="2"/>
  <c r="B11" i="2"/>
  <c r="B12" i="2"/>
  <c r="B13" i="2"/>
  <c r="B15" i="2"/>
  <c r="B5" i="2"/>
  <c r="C18" i="1"/>
  <c r="C21" i="1"/>
  <c r="H7" i="1"/>
  <c r="G4" i="1"/>
  <c r="F4" i="1"/>
  <c r="C5" i="1"/>
  <c r="C12" i="1"/>
  <c r="D11" i="1" s="1"/>
  <c r="G11" i="1" s="1"/>
  <c r="H19" i="8" l="1"/>
  <c r="K6" i="8"/>
  <c r="I6" i="8"/>
  <c r="I19" i="8" s="1"/>
  <c r="H18" i="8"/>
  <c r="K12" i="8"/>
  <c r="I12" i="8"/>
  <c r="F6" i="7"/>
  <c r="H15" i="7" s="1"/>
  <c r="G11" i="7"/>
  <c r="I11" i="7"/>
  <c r="F7" i="1"/>
  <c r="G15" i="2"/>
  <c r="H6" i="2" s="1"/>
  <c r="F12" i="1"/>
  <c r="C14" i="1"/>
  <c r="J14" i="1" s="1"/>
  <c r="D6" i="1"/>
  <c r="G6" i="1" s="1"/>
  <c r="D10" i="1"/>
  <c r="G10" i="1" s="1"/>
  <c r="G12" i="1" s="1"/>
  <c r="D5" i="1"/>
  <c r="G5" i="1" s="1"/>
  <c r="G15" i="7" l="1"/>
  <c r="I9" i="7"/>
  <c r="I6" i="7"/>
  <c r="I10" i="7"/>
  <c r="J12" i="1"/>
  <c r="F11" i="1"/>
  <c r="F5" i="1"/>
  <c r="H5" i="1" s="1"/>
  <c r="F6" i="1"/>
  <c r="H6" i="1" s="1"/>
  <c r="J7" i="1"/>
  <c r="H13" i="2"/>
  <c r="H8" i="2"/>
  <c r="H7" i="2"/>
  <c r="H11" i="2"/>
  <c r="H12" i="2"/>
  <c r="G7" i="1"/>
  <c r="J6" i="1"/>
  <c r="F10" i="1"/>
  <c r="D7" i="1"/>
  <c r="D12" i="1"/>
  <c r="J10" i="1" l="1"/>
  <c r="J11" i="1"/>
  <c r="N6" i="2"/>
  <c r="D38" i="1"/>
  <c r="D34" i="1" s="1"/>
  <c r="N7" i="2"/>
  <c r="M7" i="2" s="1"/>
  <c r="K7" i="2" s="1"/>
  <c r="J7" i="2" s="1"/>
  <c r="M6" i="2"/>
  <c r="J5" i="1"/>
  <c r="D32" i="1"/>
  <c r="N11" i="2"/>
  <c r="N12" i="2"/>
  <c r="M12" i="2" s="1"/>
  <c r="K12" i="2" s="1"/>
  <c r="J12" i="2" s="1"/>
  <c r="N8" i="2" l="1"/>
  <c r="M8" i="2"/>
  <c r="K6" i="2"/>
  <c r="J6" i="2" s="1"/>
  <c r="M11" i="2"/>
  <c r="N13" i="2"/>
  <c r="N15" i="2" s="1"/>
  <c r="D31" i="1"/>
  <c r="D37" i="1"/>
  <c r="C38" i="1"/>
  <c r="M13" i="2" l="1"/>
  <c r="M15" i="2" s="1"/>
  <c r="K11" i="2"/>
  <c r="J11" i="2" s="1"/>
  <c r="J8" i="2"/>
  <c r="K8" i="2"/>
  <c r="E38" i="1"/>
  <c r="C34" i="1"/>
  <c r="C32" i="1"/>
  <c r="C31" i="1"/>
  <c r="L31" i="1" s="1"/>
  <c r="J13" i="2" l="1"/>
  <c r="K13" i="2"/>
  <c r="C37" i="1"/>
  <c r="E34" i="1"/>
  <c r="E32" i="1"/>
  <c r="E31" i="1"/>
  <c r="F38" i="1"/>
  <c r="C23" i="1" l="1"/>
  <c r="C24" i="1" s="1"/>
  <c r="C26" i="1" s="1"/>
  <c r="C27" i="1" s="1"/>
  <c r="E37" i="1"/>
  <c r="F37" i="1" s="1"/>
</calcChain>
</file>

<file path=xl/sharedStrings.xml><?xml version="1.0" encoding="utf-8"?>
<sst xmlns="http://schemas.openxmlformats.org/spreadsheetml/2006/main" count="117" uniqueCount="93">
  <si>
    <t>Capital commitment summary</t>
  </si>
  <si>
    <t>Example call</t>
  </si>
  <si>
    <t>Idea Fund of La Crosse II, LP</t>
  </si>
  <si>
    <t>$</t>
  </si>
  <si>
    <t>% fund</t>
  </si>
  <si>
    <t>% call</t>
  </si>
  <si>
    <t>% of commitment called</t>
  </si>
  <si>
    <t xml:space="preserve">  All non-BFOF</t>
  </si>
  <si>
    <t xml:space="preserve">  BFOF</t>
  </si>
  <si>
    <t>Idea Fund II</t>
  </si>
  <si>
    <t>Idea Fund of La Crosse II-A, LP</t>
  </si>
  <si>
    <t xml:space="preserve">  SSBCI</t>
  </si>
  <si>
    <t xml:space="preserve">  Idea Fund GP</t>
  </si>
  <si>
    <t>Idea Fund II-A</t>
  </si>
  <si>
    <t>Total</t>
  </si>
  <si>
    <t>MEMO: DEPLOYMENT PLAN</t>
  </si>
  <si>
    <t>SSBCI capital</t>
  </si>
  <si>
    <t xml:space="preserve">  Less: WEDC Administrative Fee</t>
  </si>
  <si>
    <t xml:space="preserve">  Less: Service Fee</t>
  </si>
  <si>
    <t>Total investible capital</t>
  </si>
  <si>
    <t>Total capital invested or expected</t>
  </si>
  <si>
    <t>Remaining</t>
  </si>
  <si>
    <t>Additional eligible investments req'd</t>
  </si>
  <si>
    <t>Additional eligible Fund II investment req'd</t>
  </si>
  <si>
    <t>Investment allocations</t>
  </si>
  <si>
    <t>SSBCI</t>
  </si>
  <si>
    <t>BFOF</t>
  </si>
  <si>
    <t>All match</t>
  </si>
  <si>
    <t>Notes</t>
  </si>
  <si>
    <t>Eneration</t>
  </si>
  <si>
    <t xml:space="preserve">  2024 initial</t>
  </si>
  <si>
    <t>Will be transferred once ratio is established</t>
  </si>
  <si>
    <t xml:space="preserve">  2025 follow-on</t>
  </si>
  <si>
    <t xml:space="preserve">Ready to close pending SSBCI </t>
  </si>
  <si>
    <t>TraidSafe</t>
  </si>
  <si>
    <t>Expected close in next 1 - 3 weeks</t>
  </si>
  <si>
    <t>Memo: % of call by source</t>
  </si>
  <si>
    <t>Eneration cap table</t>
  </si>
  <si>
    <t>Current ownership</t>
  </si>
  <si>
    <t>This transfer</t>
  </si>
  <si>
    <t>Ending ownership</t>
  </si>
  <si>
    <t>Shares</t>
  </si>
  <si>
    <t>% total</t>
  </si>
  <si>
    <t>Share px</t>
  </si>
  <si>
    <t>INSTRUCTIONS</t>
  </si>
  <si>
    <t>The purpose of this worksheet is to demonstrate how the fund manager anticipates the proposed investment vehicle will be structured and to show the relative amounts of public and private capital included. The worksheet also helps fund managers evaluate the implications of accepting SSBCI funds, particularly when investing in out‑of‑state or otherwise ineligible deals.</t>
  </si>
  <si>
    <t>Note</t>
  </si>
  <si>
    <t>Please edit the fields highlighted in orange.</t>
  </si>
  <si>
    <t>Step 1</t>
  </si>
  <si>
    <t>Step 2</t>
  </si>
  <si>
    <t>Update the FUND MANAGER NAME field(s) in the selected tab.</t>
  </si>
  <si>
    <t>Step 3</t>
  </si>
  <si>
    <t>Step 4</t>
  </si>
  <si>
    <t>Enter the proposed SSBCI allocation.</t>
  </si>
  <si>
    <t>Step 5</t>
  </si>
  <si>
    <r>
      <rPr>
        <sz val="11"/>
        <color rgb="FF000000"/>
        <rFont val="Aptos Narrow"/>
      </rPr>
      <t xml:space="preserve">Enter any known Public Capital Commitments (including BCPL, BFOF), </t>
    </r>
    <r>
      <rPr>
        <b/>
        <sz val="11"/>
        <color rgb="FF000000"/>
        <rFont val="Aptos Narrow"/>
      </rPr>
      <t>excluding</t>
    </r>
    <r>
      <rPr>
        <sz val="11"/>
        <color rgb="FF000000"/>
        <rFont val="Aptos Narrow"/>
      </rPr>
      <t xml:space="preserve"> proposed SSBCI funds.</t>
    </r>
  </si>
  <si>
    <t>Step 6</t>
  </si>
  <si>
    <t>Enter any required private capital match associated with the public capital commitments above. (For example, if BFOF requires a 2:1 private match on a $1M investment, enter $2M.)</t>
  </si>
  <si>
    <t>Step 7</t>
  </si>
  <si>
    <t>Enter the anticipated Total Fund Size.</t>
  </si>
  <si>
    <t>Step 8</t>
  </si>
  <si>
    <t>Additional Compliance Notes</t>
  </si>
  <si>
    <t>Once a sidecar participation rate is established, it must remain consistent throughout the life of the fund, unless a justifiable SSBCI compliance reason requires a change. SSBCI guidelines require the sidecar to participate pro rata with the main fund, except in cases where the main fund anticipates making ineligible investments.
Adjustments to the sidecar participation rate are permitted only under the following limited circumstances:
1) The fund is continuing to raise capital and the participation rate must be recalibrated as commitments change; or  
2) The fund encounters additional, unanticipated ineligible investments that necessitate a change to ensure full deployment of SSBCI capital.
Any such adjustments must be justified, documented, and consistent with SSBCI program requirements.</t>
  </si>
  <si>
    <r>
      <t>The validity check will display</t>
    </r>
    <r>
      <rPr>
        <b/>
        <sz val="11"/>
        <color theme="1"/>
        <rFont val="Aptos Narrow"/>
        <family val="2"/>
        <scheme val="minor"/>
      </rPr>
      <t xml:space="preserve"> "ok"</t>
    </r>
    <r>
      <rPr>
        <sz val="11"/>
        <color theme="1"/>
        <rFont val="Aptos Narrow"/>
        <family val="2"/>
        <scheme val="minor"/>
      </rPr>
      <t xml:space="preserve"> and be highlighted </t>
    </r>
    <r>
      <rPr>
        <b/>
        <sz val="11"/>
        <color theme="1"/>
        <rFont val="Aptos Narrow"/>
        <family val="2"/>
        <scheme val="minor"/>
      </rPr>
      <t>green</t>
    </r>
    <r>
      <rPr>
        <sz val="11"/>
        <color theme="1"/>
        <rFont val="Aptos Narrow"/>
        <family val="2"/>
        <scheme val="minor"/>
      </rPr>
      <t xml:space="preserve"> if the model meets the private match requirement. It will display</t>
    </r>
    <r>
      <rPr>
        <b/>
        <sz val="11"/>
        <color theme="1"/>
        <rFont val="Aptos Narrow"/>
        <family val="2"/>
        <scheme val="minor"/>
      </rPr>
      <t xml:space="preserve"> "error"</t>
    </r>
    <r>
      <rPr>
        <sz val="11"/>
        <color theme="1"/>
        <rFont val="Aptos Narrow"/>
        <family val="2"/>
        <scheme val="minor"/>
      </rPr>
      <t xml:space="preserve"> and be highlighted </t>
    </r>
    <r>
      <rPr>
        <b/>
        <sz val="11"/>
        <color theme="1"/>
        <rFont val="Aptos Narrow"/>
        <family val="2"/>
        <scheme val="minor"/>
      </rPr>
      <t>red</t>
    </r>
    <r>
      <rPr>
        <sz val="11"/>
        <color theme="1"/>
        <rFont val="Aptos Narrow"/>
        <family val="2"/>
        <scheme val="minor"/>
      </rPr>
      <t xml:space="preserve"> if the model does not meet the private match requirement.</t>
    </r>
  </si>
  <si>
    <t>CAPITAL COMMITMENT SUMMARY</t>
  </si>
  <si>
    <t>Goal Fund Structure</t>
  </si>
  <si>
    <t>[FUND MANAGER NAME]</t>
  </si>
  <si>
    <t>% of Fund</t>
  </si>
  <si>
    <t>% of Commitment Called</t>
  </si>
  <si>
    <t>Private Match Available</t>
  </si>
  <si>
    <t>Ineligible Deals</t>
  </si>
  <si>
    <t>SSBCI Allocation</t>
  </si>
  <si>
    <t>Public Capital Commitments (incl. BCPL, BFOF)</t>
  </si>
  <si>
    <t xml:space="preserve">  Public Capital Match Requirements</t>
  </si>
  <si>
    <t>Total Fund Size</t>
  </si>
  <si>
    <t>VALIDITY CHECK</t>
  </si>
  <si>
    <t>Private Match</t>
  </si>
  <si>
    <t>Example Capital Call</t>
  </si>
  <si>
    <t>% of Call</t>
  </si>
  <si>
    <t xml:space="preserve">  SSBCI Allocation</t>
  </si>
  <si>
    <t>Capital Under Management</t>
  </si>
  <si>
    <t>Deal Size</t>
  </si>
  <si>
    <t>DEPLOYMENT REQUIREMENTS (based on sidecar participation)</t>
  </si>
  <si>
    <t>Investment $ that must be SSBCI-eligible</t>
  </si>
  <si>
    <t>Main Fund</t>
  </si>
  <si>
    <t>Sidecar</t>
  </si>
  <si>
    <t>Investment $ remaining for ineligible deals</t>
  </si>
  <si>
    <t>If you plan to invest through a single primary fund, use the “Fund Manager Calcs (Primary)” tab. If you plan to use a sidecar structure, use the “Fund Manager Calcs (Sidecar)” tab.</t>
  </si>
  <si>
    <t>Additional Step for Fund Manager Calcs (Sidecar) Tab</t>
  </si>
  <si>
    <t>Additional Step for Fund Manager Calcs (Primary) Tab</t>
  </si>
  <si>
    <r>
      <t xml:space="preserve">For sidecar funds, adjust the value in </t>
    </r>
    <r>
      <rPr>
        <b/>
        <sz val="11"/>
        <color rgb="FF000000"/>
        <rFont val="Aptos Narrow"/>
        <family val="2"/>
      </rPr>
      <t>cell</t>
    </r>
    <r>
      <rPr>
        <sz val="11"/>
        <color rgb="FF000000"/>
        <rFont val="Aptos Narrow"/>
      </rPr>
      <t xml:space="preserve"> </t>
    </r>
    <r>
      <rPr>
        <b/>
        <sz val="11"/>
        <color rgb="FF000000"/>
        <rFont val="Aptos Narrow"/>
        <family val="2"/>
      </rPr>
      <t>I13</t>
    </r>
    <r>
      <rPr>
        <sz val="11"/>
        <color rgb="FF000000"/>
        <rFont val="Aptos Narrow"/>
      </rPr>
      <t xml:space="preserve"> (</t>
    </r>
    <r>
      <rPr>
        <b/>
        <sz val="11"/>
        <color rgb="FF000000"/>
        <rFont val="Aptos Narrow"/>
      </rPr>
      <t>Sidecar % in Example Capital Call</t>
    </r>
    <r>
      <rPr>
        <sz val="11"/>
        <color rgb="FF000000"/>
        <rFont val="Aptos Narrow"/>
      </rPr>
      <t>) to see how the sidecar participation rate affects:
- the amount of capital required to be deployed in SSBCI-eligible investments, and 
- the amount of capital remaining for ineligible investments.</t>
    </r>
  </si>
  <si>
    <t>Estimate the amount of capital expected to be invested in deals that are ineligible for SSBCI funding due to geography (must be WI-based), size (&lt;750 employees), stage, or other.</t>
  </si>
  <si>
    <t>[FUND MANAGER NAME]-A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</si>
</sst>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164" formatCode="&quot;$&quot;#,##0.00"/>
    <numFmt numFmtId="165" formatCode="&quot;$&quot;#,##0"/>
    <numFmt numFmtId="166" formatCode="0.0%"/>
    <numFmt numFmtId="167" formatCode="0.000%"/>
    <numFmt numFmtId="168" formatCode="_([$$-409]* #,##0.00_);_([$$-409]* \(#,##0.00\);_([$$-409]* &quot;-&quot;??_);_(@_)"/>
  </numFmts>
  <fonts count="13"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rgb="FF0000FF"/>
      <name val="Aptos Narrow"/>
      <family val="2"/>
      <scheme val="minor"/>
    </font>
    <font>
      <b/>
      <sz val="14"/>
      <color theme="1"/>
      <name val="Aptos Narrow"/>
      <family val="2"/>
      <scheme val="minor"/>
    </font>
    <font>
      <sz val="11"/>
      <color rgb="FF000000"/>
      <name val="Aptos Narrow"/>
      <family val="2"/>
      <scheme val="minor"/>
    </font>
    <font>
      <i/>
      <sz val="11"/>
      <color theme="1"/>
      <name val="Aptos Narrow"/>
      <family val="2"/>
      <scheme val="minor"/>
    </font>
    <font>
      <sz val="8"/>
      <name val="Aptos Narrow"/>
      <family val="2"/>
      <scheme val="minor"/>
    </font>
    <font>
      <b/>
      <sz val="11"/>
      <color rgb="FF000000"/>
      <name val="Aptos Narrow"/>
      <family val="2"/>
      <scheme val="minor"/>
    </font>
    <font>
      <sz val="11"/>
      <color rgb="FF000000"/>
      <name val="Aptos Narrow"/>
    </font>
    <font>
      <b/>
      <sz val="11"/>
      <color rgb="FF000000"/>
      <name val="Aptos Narrow"/>
    </font>
    <font>
      <b/>
      <sz val="11"/>
      <color rgb="FF000000"/>
      <name val="Aptos Narrow"/>
      <family val="2"/>
    </font>
    <font>
      <sz val="11"/>
      <color rgb="FF000000"/>
      <name val="Aptos Narrow"/>
      <family val="2"/>
    </font>
  </fonts>
  <fills count="5">
    <fill>
      <patternFill patternType="none"/>
    </fill>
    <fill>
      <patternFill patternType="gray125"/>
    </fill>
    <fill>
      <patternFill patternType="solid">
        <fgColor rgb="FFFFFFCC"/>
      </patternFill>
    </fill>
    <fill>
      <patternFill patternType="solid">
        <fgColor theme="5" tint="0.79998168889431442"/>
        <bgColor indexed="64"/>
      </patternFill>
    </fill>
    <fill>
      <patternFill patternType="solid">
        <fgColor theme="0"/>
        <bgColor indexed="64"/>
      </patternFill>
    </fill>
  </fills>
  <borders count="9">
    <border>
      <left/>
      <right/>
      <top/>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style="thin">
        <color rgb="FFB2B2B2"/>
      </left>
      <right style="thin">
        <color rgb="FFB2B2B2"/>
      </right>
      <top style="thin">
        <color rgb="FFB2B2B2"/>
      </top>
      <bottom style="thin">
        <color indexed="64"/>
      </bottom>
      <diagonal/>
    </border>
    <border>
      <left style="thin">
        <color rgb="FFB2B2B2"/>
      </left>
      <right style="thin">
        <color rgb="FFB2B2B2"/>
      </right>
      <top/>
      <bottom style="thin">
        <color rgb="FFB2B2B2"/>
      </bottom>
      <diagonal/>
    </border>
    <border>
      <left/>
      <right/>
      <top style="thin">
        <color indexed="64"/>
      </top>
      <bottom/>
      <diagonal/>
    </border>
    <border>
      <left style="thin">
        <color rgb="FFB2B2B2"/>
      </left>
      <right style="thin">
        <color rgb="FFB2B2B2"/>
      </right>
      <top style="thin">
        <color rgb="FF000000"/>
      </top>
      <bottom style="thin">
        <color rgb="FFB2B2B2"/>
      </bottom>
      <diagonal/>
    </border>
    <border>
      <left/>
      <right/>
      <top style="thin">
        <color rgb="FF000000"/>
      </top>
      <bottom/>
      <diagonal/>
    </border>
    <border>
      <left style="thin">
        <color rgb="FFB2B2B2"/>
      </left>
      <right style="thin">
        <color rgb="FFB2B2B2"/>
      </right>
      <top style="thin">
        <color rgb="FFB2B2B2"/>
      </top>
      <bottom/>
      <diagonal/>
    </border>
  </borders>
  <cellStyleXfs count="2">
    <xf numFmtId="0" fontId="0" fillId="0" borderId="0"/>
    <xf numFmtId="0" fontId="1" fillId="2" borderId="2" applyNumberFormat="0" applyFont="0" applyAlignment="0" applyProtection="0"/>
  </cellStyleXfs>
  <cellXfs count="105">
    <xf numFmtId="0" fontId="0" fillId="0" borderId="0" xfId="0"/>
    <xf numFmtId="3" fontId="0" fillId="0" borderId="0" xfId="0" applyNumberFormat="1"/>
    <xf numFmtId="165" fontId="0" fillId="0" borderId="0" xfId="0" applyNumberFormat="1"/>
    <xf numFmtId="9" fontId="0" fillId="0" borderId="0" xfId="0" applyNumberFormat="1" applyAlignment="1">
      <alignment horizontal="right"/>
    </xf>
    <xf numFmtId="3" fontId="0" fillId="0" borderId="0" xfId="0" applyNumberFormat="1" applyAlignment="1">
      <alignment horizontal="right"/>
    </xf>
    <xf numFmtId="0" fontId="0" fillId="0" borderId="0" xfId="0" applyAlignment="1">
      <alignment horizontal="right"/>
    </xf>
    <xf numFmtId="165" fontId="3" fillId="2" borderId="2" xfId="1" applyNumberFormat="1" applyFont="1" applyAlignment="1">
      <alignment horizontal="right" vertical="center"/>
    </xf>
    <xf numFmtId="164" fontId="0" fillId="0" borderId="0" xfId="0" applyNumberFormat="1" applyAlignment="1">
      <alignment horizontal="right"/>
    </xf>
    <xf numFmtId="165" fontId="3" fillId="2" borderId="3" xfId="1" applyNumberFormat="1" applyFont="1" applyBorder="1" applyAlignment="1">
      <alignment horizontal="right" vertical="center"/>
    </xf>
    <xf numFmtId="164" fontId="0" fillId="0" borderId="1" xfId="0" applyNumberFormat="1" applyBorder="1" applyAlignment="1">
      <alignment horizontal="right"/>
    </xf>
    <xf numFmtId="166" fontId="0" fillId="0" borderId="0" xfId="0" applyNumberFormat="1"/>
    <xf numFmtId="166" fontId="0" fillId="0" borderId="1" xfId="0" applyNumberFormat="1" applyBorder="1"/>
    <xf numFmtId="165" fontId="3" fillId="2" borderId="4" xfId="1" applyNumberFormat="1" applyFont="1" applyBorder="1" applyAlignment="1">
      <alignment horizontal="right" vertical="center"/>
    </xf>
    <xf numFmtId="166" fontId="0" fillId="0" borderId="0" xfId="0" applyNumberFormat="1" applyAlignment="1">
      <alignment horizontal="right"/>
    </xf>
    <xf numFmtId="166" fontId="0" fillId="0" borderId="1" xfId="0" applyNumberFormat="1" applyBorder="1" applyAlignment="1">
      <alignment horizontal="right"/>
    </xf>
    <xf numFmtId="166" fontId="3" fillId="2" borderId="2" xfId="1" applyNumberFormat="1" applyFont="1" applyAlignment="1">
      <alignment horizontal="right" vertical="center"/>
    </xf>
    <xf numFmtId="5" fontId="0" fillId="0" borderId="0" xfId="0" applyNumberFormat="1"/>
    <xf numFmtId="0" fontId="2" fillId="0" borderId="0" xfId="0" applyFont="1"/>
    <xf numFmtId="0" fontId="0" fillId="0" borderId="0" xfId="0" applyAlignment="1">
      <alignment horizontal="left"/>
    </xf>
    <xf numFmtId="0" fontId="0" fillId="0" borderId="0" xfId="0" quotePrefix="1" applyAlignment="1">
      <alignment horizontal="left"/>
    </xf>
    <xf numFmtId="166" fontId="0" fillId="0" borderId="0" xfId="0" applyNumberFormat="1" applyAlignment="1">
      <alignment horizontal="left"/>
    </xf>
    <xf numFmtId="9" fontId="0" fillId="0" borderId="0" xfId="0" applyNumberFormat="1"/>
    <xf numFmtId="164" fontId="0" fillId="0" borderId="0" xfId="0" applyNumberFormat="1"/>
    <xf numFmtId="3" fontId="0" fillId="0" borderId="1" xfId="0" applyNumberFormat="1" applyBorder="1"/>
    <xf numFmtId="9" fontId="0" fillId="0" borderId="1" xfId="0" applyNumberFormat="1" applyBorder="1"/>
    <xf numFmtId="3" fontId="0" fillId="0" borderId="0" xfId="0" applyNumberFormat="1" applyAlignment="1">
      <alignment horizontal="centerContinuous"/>
    </xf>
    <xf numFmtId="166" fontId="0" fillId="0" borderId="0" xfId="0" applyNumberFormat="1" applyAlignment="1">
      <alignment horizontal="centerContinuous"/>
    </xf>
    <xf numFmtId="3" fontId="2" fillId="0" borderId="1" xfId="0" applyNumberFormat="1" applyFont="1" applyBorder="1" applyAlignment="1">
      <alignment horizontal="centerContinuous"/>
    </xf>
    <xf numFmtId="9" fontId="2" fillId="0" borderId="1" xfId="0" applyNumberFormat="1" applyFont="1" applyBorder="1" applyAlignment="1">
      <alignment horizontal="centerContinuous"/>
    </xf>
    <xf numFmtId="166" fontId="2" fillId="0" borderId="1" xfId="0" applyNumberFormat="1" applyFont="1" applyBorder="1" applyAlignment="1">
      <alignment horizontal="centerContinuous"/>
    </xf>
    <xf numFmtId="166" fontId="2" fillId="0" borderId="0" xfId="0" applyNumberFormat="1" applyFont="1"/>
    <xf numFmtId="0" fontId="2" fillId="0" borderId="1" xfId="0" applyFont="1" applyBorder="1" applyAlignment="1">
      <alignment horizontal="centerContinuous"/>
    </xf>
    <xf numFmtId="3" fontId="4" fillId="0" borderId="0" xfId="0" applyNumberFormat="1" applyFont="1"/>
    <xf numFmtId="3" fontId="0" fillId="0" borderId="5" xfId="0" applyNumberFormat="1" applyBorder="1"/>
    <xf numFmtId="166" fontId="3" fillId="2" borderId="6" xfId="1" applyNumberFormat="1" applyFont="1" applyBorder="1" applyAlignment="1">
      <alignment horizontal="right" vertical="center"/>
    </xf>
    <xf numFmtId="5" fontId="0" fillId="3" borderId="1" xfId="0" applyNumberFormat="1" applyFill="1" applyBorder="1"/>
    <xf numFmtId="10" fontId="0" fillId="0" borderId="0" xfId="0" applyNumberFormat="1"/>
    <xf numFmtId="168" fontId="0" fillId="0" borderId="0" xfId="0" applyNumberFormat="1"/>
    <xf numFmtId="0" fontId="0" fillId="0" borderId="7" xfId="0" applyBorder="1"/>
    <xf numFmtId="166" fontId="0" fillId="0" borderId="7" xfId="0" applyNumberFormat="1" applyBorder="1"/>
    <xf numFmtId="166" fontId="5" fillId="0" borderId="0" xfId="0" applyNumberFormat="1" applyFont="1" applyAlignment="1">
      <alignment horizontal="right"/>
    </xf>
    <xf numFmtId="0" fontId="5" fillId="0" borderId="0" xfId="0" applyFont="1"/>
    <xf numFmtId="164" fontId="5" fillId="0" borderId="0" xfId="0" applyNumberFormat="1" applyFont="1" applyAlignment="1">
      <alignment horizontal="right"/>
    </xf>
    <xf numFmtId="10" fontId="5" fillId="0" borderId="0" xfId="0" applyNumberFormat="1" applyFont="1" applyAlignment="1">
      <alignment horizontal="right"/>
    </xf>
    <xf numFmtId="166" fontId="5" fillId="0" borderId="1" xfId="0" applyNumberFormat="1" applyFont="1" applyBorder="1" applyAlignment="1">
      <alignment horizontal="right"/>
    </xf>
    <xf numFmtId="164" fontId="5" fillId="0" borderId="1" xfId="0" applyNumberFormat="1" applyFont="1" applyBorder="1" applyAlignment="1">
      <alignment horizontal="right"/>
    </xf>
    <xf numFmtId="10" fontId="5" fillId="0" borderId="1" xfId="0" applyNumberFormat="1" applyFont="1" applyBorder="1" applyAlignment="1">
      <alignment horizontal="right"/>
    </xf>
    <xf numFmtId="166" fontId="5" fillId="0" borderId="7" xfId="0" applyNumberFormat="1" applyFont="1" applyBorder="1" applyAlignment="1">
      <alignment horizontal="right"/>
    </xf>
    <xf numFmtId="165" fontId="5" fillId="0" borderId="0" xfId="0" applyNumberFormat="1" applyFont="1"/>
    <xf numFmtId="0" fontId="5" fillId="0" borderId="0" xfId="0" applyFont="1" applyAlignment="1">
      <alignment horizontal="right"/>
    </xf>
    <xf numFmtId="167" fontId="5" fillId="0" borderId="0" xfId="0" applyNumberFormat="1" applyFont="1" applyAlignment="1">
      <alignment horizontal="right"/>
    </xf>
    <xf numFmtId="9" fontId="5" fillId="0" borderId="0" xfId="0" applyNumberFormat="1" applyFont="1"/>
    <xf numFmtId="165" fontId="5" fillId="0" borderId="7" xfId="0" applyNumberFormat="1" applyFont="1" applyBorder="1"/>
    <xf numFmtId="0" fontId="5" fillId="0" borderId="7" xfId="0" applyFont="1" applyBorder="1"/>
    <xf numFmtId="164" fontId="5" fillId="0" borderId="7" xfId="0" applyNumberFormat="1" applyFont="1" applyBorder="1" applyAlignment="1">
      <alignment horizontal="right"/>
    </xf>
    <xf numFmtId="3" fontId="2" fillId="0" borderId="0" xfId="0" applyNumberFormat="1" applyFont="1"/>
    <xf numFmtId="0" fontId="2" fillId="0" borderId="0" xfId="0" applyFont="1" applyAlignment="1">
      <alignment horizontal="right"/>
    </xf>
    <xf numFmtId="165" fontId="5" fillId="4" borderId="0" xfId="0" applyNumberFormat="1" applyFont="1" applyFill="1"/>
    <xf numFmtId="166" fontId="0" fillId="0" borderId="5" xfId="0" applyNumberFormat="1" applyBorder="1"/>
    <xf numFmtId="165" fontId="5" fillId="3" borderId="0" xfId="0" applyNumberFormat="1" applyFont="1" applyFill="1" applyProtection="1">
      <protection locked="0"/>
    </xf>
    <xf numFmtId="165" fontId="5" fillId="3" borderId="3" xfId="1" applyNumberFormat="1" applyFont="1" applyFill="1" applyBorder="1" applyAlignment="1" applyProtection="1">
      <alignment horizontal="right" vertical="center"/>
      <protection locked="0"/>
    </xf>
    <xf numFmtId="165" fontId="5" fillId="3" borderId="4" xfId="1" applyNumberFormat="1" applyFont="1" applyFill="1" applyBorder="1" applyAlignment="1" applyProtection="1">
      <alignment horizontal="right" vertical="center"/>
      <protection locked="0"/>
    </xf>
    <xf numFmtId="165" fontId="5" fillId="0" borderId="0" xfId="0" applyNumberFormat="1" applyFont="1" applyProtection="1">
      <protection locked="0"/>
    </xf>
    <xf numFmtId="165" fontId="5" fillId="3" borderId="8" xfId="1" applyNumberFormat="1" applyFont="1" applyFill="1" applyBorder="1" applyAlignment="1" applyProtection="1">
      <alignment horizontal="right" vertical="center"/>
      <protection locked="0"/>
    </xf>
    <xf numFmtId="10" fontId="5" fillId="3" borderId="6" xfId="1" applyNumberFormat="1" applyFont="1" applyFill="1" applyBorder="1" applyAlignment="1" applyProtection="1">
      <alignment horizontal="right" vertical="center"/>
      <protection locked="0"/>
    </xf>
    <xf numFmtId="3" fontId="6" fillId="0" borderId="0" xfId="0" applyNumberFormat="1" applyFont="1"/>
    <xf numFmtId="166" fontId="6" fillId="0" borderId="0" xfId="0" applyNumberFormat="1" applyFont="1"/>
    <xf numFmtId="0" fontId="6" fillId="0" borderId="0" xfId="0" applyFont="1"/>
    <xf numFmtId="0" fontId="6" fillId="0" borderId="0" xfId="0" applyFont="1" applyAlignment="1">
      <alignment horizontal="right"/>
    </xf>
    <xf numFmtId="3" fontId="2" fillId="0" borderId="0" xfId="0" applyNumberFormat="1" applyFont="1" applyAlignment="1">
      <alignment horizontal="right"/>
    </xf>
    <xf numFmtId="166" fontId="2" fillId="0" borderId="0" xfId="0" applyNumberFormat="1" applyFont="1" applyAlignment="1">
      <alignment horizontal="right"/>
    </xf>
    <xf numFmtId="9" fontId="2" fillId="0" borderId="0" xfId="0" applyNumberFormat="1" applyFont="1" applyAlignment="1">
      <alignment horizontal="right"/>
    </xf>
    <xf numFmtId="166" fontId="5" fillId="0" borderId="0" xfId="1" applyNumberFormat="1" applyFont="1" applyFill="1" applyBorder="1" applyAlignment="1">
      <alignment horizontal="right" vertical="center"/>
    </xf>
    <xf numFmtId="0" fontId="0" fillId="0" borderId="0" xfId="0" applyAlignment="1">
      <alignment wrapText="1"/>
    </xf>
    <xf numFmtId="0" fontId="0" fillId="3" borderId="0" xfId="0" applyFill="1" applyProtection="1">
      <protection locked="0"/>
    </xf>
    <xf numFmtId="0" fontId="5" fillId="0" borderId="5" xfId="0" applyFont="1" applyBorder="1"/>
    <xf numFmtId="165" fontId="5" fillId="4" borderId="5" xfId="1" applyNumberFormat="1" applyFont="1" applyFill="1" applyBorder="1" applyAlignment="1" applyProtection="1">
      <alignment horizontal="right" vertical="center"/>
    </xf>
    <xf numFmtId="166" fontId="5" fillId="0" borderId="5" xfId="0" applyNumberFormat="1" applyFont="1" applyBorder="1" applyAlignment="1">
      <alignment horizontal="right"/>
    </xf>
    <xf numFmtId="0" fontId="0" fillId="0" borderId="5" xfId="0" applyBorder="1"/>
    <xf numFmtId="0" fontId="0" fillId="0" borderId="1" xfId="0" applyBorder="1"/>
    <xf numFmtId="10" fontId="0" fillId="0" borderId="1" xfId="0" applyNumberFormat="1" applyBorder="1"/>
    <xf numFmtId="5" fontId="6" fillId="0" borderId="0" xfId="0" applyNumberFormat="1" applyFont="1"/>
    <xf numFmtId="5" fontId="2" fillId="0" borderId="5" xfId="0" applyNumberFormat="1" applyFont="1" applyBorder="1"/>
    <xf numFmtId="5" fontId="2" fillId="0" borderId="1" xfId="0" applyNumberFormat="1" applyFont="1" applyBorder="1"/>
    <xf numFmtId="0" fontId="2" fillId="0" borderId="5" xfId="0" applyFont="1" applyBorder="1" applyAlignment="1">
      <alignment horizontal="right"/>
    </xf>
    <xf numFmtId="166" fontId="2" fillId="0" borderId="5" xfId="0" applyNumberFormat="1" applyFont="1" applyBorder="1"/>
    <xf numFmtId="0" fontId="2" fillId="0" borderId="1" xfId="0" applyFont="1" applyBorder="1" applyAlignment="1">
      <alignment horizontal="right"/>
    </xf>
    <xf numFmtId="166" fontId="2" fillId="0" borderId="1" xfId="0" applyNumberFormat="1" applyFont="1" applyBorder="1"/>
    <xf numFmtId="3" fontId="2" fillId="0" borderId="0" xfId="0" applyNumberFormat="1" applyFont="1" applyAlignment="1">
      <alignment horizontal="left"/>
    </xf>
    <xf numFmtId="0" fontId="2" fillId="0" borderId="0" xfId="0" applyFont="1" applyAlignment="1">
      <alignment horizontal="left"/>
    </xf>
    <xf numFmtId="165" fontId="5" fillId="0" borderId="0" xfId="1" applyNumberFormat="1" applyFont="1" applyFill="1" applyBorder="1" applyAlignment="1" applyProtection="1">
      <alignment horizontal="right" vertical="center"/>
      <protection locked="0"/>
    </xf>
    <xf numFmtId="164" fontId="5" fillId="0" borderId="0" xfId="0" applyNumberFormat="1" applyFont="1" applyAlignment="1" applyProtection="1">
      <alignment horizontal="right"/>
      <protection locked="0"/>
    </xf>
    <xf numFmtId="0" fontId="8" fillId="0" borderId="0" xfId="0" applyFont="1" applyAlignment="1">
      <alignment horizontal="left"/>
    </xf>
    <xf numFmtId="0" fontId="0" fillId="0" borderId="0" xfId="0" applyAlignment="1">
      <alignment horizontal="left" vertical="top" wrapText="1"/>
    </xf>
    <xf numFmtId="0" fontId="0" fillId="0" borderId="0" xfId="0" applyAlignment="1">
      <alignment vertical="top" wrapText="1"/>
    </xf>
    <xf numFmtId="0" fontId="2" fillId="0" borderId="0" xfId="0" applyFont="1" applyAlignment="1">
      <alignment vertical="top" wrapText="1"/>
    </xf>
    <xf numFmtId="0" fontId="0" fillId="3" borderId="0" xfId="0" applyFill="1" applyAlignment="1">
      <alignment vertical="top" wrapText="1"/>
    </xf>
    <xf numFmtId="0" fontId="2" fillId="0" borderId="0" xfId="0" applyFont="1" applyAlignment="1">
      <alignment vertical="top"/>
    </xf>
    <xf numFmtId="164" fontId="0" fillId="0" borderId="5" xfId="0" applyNumberFormat="1" applyBorder="1" applyAlignment="1">
      <alignment horizontal="right"/>
    </xf>
    <xf numFmtId="165" fontId="8" fillId="0" borderId="0" xfId="0" applyNumberFormat="1" applyFont="1"/>
    <xf numFmtId="164" fontId="8" fillId="0" borderId="0" xfId="0" applyNumberFormat="1" applyFont="1" applyAlignment="1">
      <alignment horizontal="right"/>
    </xf>
    <xf numFmtId="166" fontId="8" fillId="0" borderId="0" xfId="1" applyNumberFormat="1" applyFont="1" applyFill="1" applyBorder="1" applyAlignment="1">
      <alignment horizontal="right" vertical="center"/>
    </xf>
    <xf numFmtId="0" fontId="9" fillId="0" borderId="0" xfId="0" applyFont="1" applyAlignment="1">
      <alignment vertical="top" wrapText="1"/>
    </xf>
    <xf numFmtId="165" fontId="8" fillId="0" borderId="0" xfId="0" applyNumberFormat="1" applyFont="1" applyProtection="1"/>
    <xf numFmtId="0" fontId="12" fillId="0" borderId="0" xfId="0" applyFont="1" applyAlignment="1">
      <alignment vertical="top" wrapText="1"/>
    </xf>
  </cellXfs>
  <cellStyles count="2">
    <cellStyle name="Normal" xfId="0" builtinId="0"/>
    <cellStyle name="Note" xfId="1" builtinId="10"/>
  </cellStyles>
  <dxfs count="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49DD3-8D91-4458-A740-3CF97ACE3DA1}">
  <dimension ref="B1:N40"/>
  <sheetViews>
    <sheetView workbookViewId="0">
      <selection activeCell="N34" sqref="N34"/>
    </sheetView>
  </sheetViews>
  <sheetFormatPr defaultRowHeight="14.5" x14ac:dyDescent="0.35"/>
  <cols>
    <col min="2" max="2" width="39.26953125" bestFit="1" customWidth="1"/>
    <col min="3" max="3" width="16.1796875" style="1" customWidth="1"/>
    <col min="4" max="4" width="10.81640625" style="10" bestFit="1" customWidth="1"/>
    <col min="5" max="5" width="10.81640625" bestFit="1" customWidth="1"/>
    <col min="6" max="6" width="12.7265625" style="5" bestFit="1" customWidth="1"/>
    <col min="7" max="7" width="12.7265625" style="20" bestFit="1" customWidth="1"/>
    <col min="8" max="8" width="10.54296875" style="13" customWidth="1"/>
    <col min="10" max="10" width="9.1796875" style="10"/>
    <col min="14" max="14" width="14.1796875" bestFit="1" customWidth="1"/>
  </cols>
  <sheetData>
    <row r="1" spans="2:10" x14ac:dyDescent="0.35">
      <c r="G1" s="13"/>
    </row>
    <row r="2" spans="2:10" x14ac:dyDescent="0.35">
      <c r="G2" s="13"/>
    </row>
    <row r="3" spans="2:10" x14ac:dyDescent="0.35">
      <c r="C3" s="1" t="s">
        <v>0</v>
      </c>
      <c r="F3" s="5" t="s">
        <v>1</v>
      </c>
      <c r="G3" s="13"/>
    </row>
    <row r="4" spans="2:10" x14ac:dyDescent="0.35">
      <c r="B4" t="s">
        <v>2</v>
      </c>
      <c r="C4" s="4" t="s">
        <v>3</v>
      </c>
      <c r="D4" s="13" t="s">
        <v>4</v>
      </c>
      <c r="E4" s="5"/>
      <c r="F4" s="3" t="str">
        <f>C4</f>
        <v>$</v>
      </c>
      <c r="G4" s="13" t="str">
        <f>D4</f>
        <v>% fund</v>
      </c>
      <c r="H4" s="13" t="s">
        <v>5</v>
      </c>
      <c r="J4" s="10" t="s">
        <v>6</v>
      </c>
    </row>
    <row r="5" spans="2:10" x14ac:dyDescent="0.35">
      <c r="B5" t="s">
        <v>7</v>
      </c>
      <c r="C5" s="2">
        <f>C7-C6</f>
        <v>23450000</v>
      </c>
      <c r="D5" s="13">
        <f>C5/$C$7</f>
        <v>0.88657844990548207</v>
      </c>
      <c r="F5" s="7">
        <f>$F$7*G5</f>
        <v>85450.647448015108</v>
      </c>
      <c r="G5" s="13">
        <f>D5</f>
        <v>0.88657844990548207</v>
      </c>
      <c r="H5" s="13">
        <f>F5/$F$14</f>
        <v>0.48141209829867665</v>
      </c>
      <c r="J5" s="10">
        <f>F5/C5</f>
        <v>3.6439508506616249E-3</v>
      </c>
    </row>
    <row r="6" spans="2:10" x14ac:dyDescent="0.35">
      <c r="B6" t="s">
        <v>8</v>
      </c>
      <c r="C6" s="8">
        <v>3000000</v>
      </c>
      <c r="D6" s="14">
        <f>C6/$C$7</f>
        <v>0.11342155009451796</v>
      </c>
      <c r="F6" s="9">
        <f>$F$7*G6</f>
        <v>10931.852551984875</v>
      </c>
      <c r="G6" s="14">
        <f>D6</f>
        <v>0.11342155009451796</v>
      </c>
      <c r="H6" s="14">
        <f>F6/$F$14</f>
        <v>6.1587901701323243E-2</v>
      </c>
      <c r="J6" s="11">
        <f t="shared" ref="J6:J7" si="0">F6/C6</f>
        <v>3.6439508506616253E-3</v>
      </c>
    </row>
    <row r="7" spans="2:10" x14ac:dyDescent="0.35">
      <c r="B7" t="s">
        <v>9</v>
      </c>
      <c r="C7" s="12">
        <v>26450000</v>
      </c>
      <c r="D7" s="13">
        <f>SUM(D5:D6)</f>
        <v>1</v>
      </c>
      <c r="F7" s="7">
        <f>F14*H7</f>
        <v>96382.499999999985</v>
      </c>
      <c r="G7" s="13">
        <f>SUM(G5:G6)</f>
        <v>1</v>
      </c>
      <c r="H7" s="13">
        <f>H14-H12</f>
        <v>0.54299999999999993</v>
      </c>
      <c r="J7" s="10">
        <f t="shared" si="0"/>
        <v>3.6439508506616253E-3</v>
      </c>
    </row>
    <row r="8" spans="2:10" x14ac:dyDescent="0.35">
      <c r="C8" s="2"/>
      <c r="D8" s="13"/>
      <c r="G8" s="13"/>
    </row>
    <row r="9" spans="2:10" x14ac:dyDescent="0.35">
      <c r="B9" t="s">
        <v>10</v>
      </c>
      <c r="C9" s="2"/>
      <c r="D9" s="13"/>
      <c r="G9" s="13"/>
    </row>
    <row r="10" spans="2:10" x14ac:dyDescent="0.35">
      <c r="B10" t="s">
        <v>11</v>
      </c>
      <c r="C10" s="6">
        <v>5000000</v>
      </c>
      <c r="D10" s="13">
        <f>C10/$C$12</f>
        <v>0.99000000990000014</v>
      </c>
      <c r="F10" s="7">
        <f>$F$12*G10</f>
        <v>80306.325803063271</v>
      </c>
      <c r="G10" s="13">
        <f>D10</f>
        <v>0.99000000990000014</v>
      </c>
      <c r="H10" s="13">
        <f>F10/$F$14</f>
        <v>0.4524300045243001</v>
      </c>
      <c r="J10" s="10">
        <f>F10/C10</f>
        <v>1.6061265160612653E-2</v>
      </c>
    </row>
    <row r="11" spans="2:10" x14ac:dyDescent="0.35">
      <c r="B11" t="s">
        <v>12</v>
      </c>
      <c r="C11" s="8">
        <v>50505</v>
      </c>
      <c r="D11" s="14">
        <f>C11/$C$12</f>
        <v>9.999990099999901E-3</v>
      </c>
      <c r="F11" s="9">
        <f>$F$12*G11</f>
        <v>811.17419693674208</v>
      </c>
      <c r="G11" s="14">
        <f>D11</f>
        <v>9.999990099999901E-3</v>
      </c>
      <c r="H11" s="13">
        <f>F11/$F$14</f>
        <v>4.5699954756999554E-3</v>
      </c>
      <c r="J11" s="11">
        <f>F11/C11</f>
        <v>1.6061265160612653E-2</v>
      </c>
    </row>
    <row r="12" spans="2:10" x14ac:dyDescent="0.35">
      <c r="B12" t="s">
        <v>13</v>
      </c>
      <c r="C12" s="2">
        <f>SUM(C10:C11)</f>
        <v>5050505</v>
      </c>
      <c r="D12" s="13">
        <f>SUM(D10:D11)</f>
        <v>1</v>
      </c>
      <c r="F12" s="7">
        <f>F14-F7</f>
        <v>81117.500000000015</v>
      </c>
      <c r="G12" s="13">
        <f>SUM(G10:G11)</f>
        <v>1</v>
      </c>
      <c r="H12" s="34">
        <v>0.45700000000000002</v>
      </c>
      <c r="J12" s="10">
        <f t="shared" ref="J12:J14" si="1">F12/C12</f>
        <v>1.6061265160612653E-2</v>
      </c>
    </row>
    <row r="13" spans="2:10" x14ac:dyDescent="0.35">
      <c r="C13" s="2"/>
      <c r="D13" s="13"/>
      <c r="G13" s="13"/>
    </row>
    <row r="14" spans="2:10" x14ac:dyDescent="0.35">
      <c r="B14" t="s">
        <v>14</v>
      </c>
      <c r="C14" s="2">
        <f>C12+C7</f>
        <v>31500505</v>
      </c>
      <c r="D14" s="13"/>
      <c r="F14" s="6">
        <v>177500</v>
      </c>
      <c r="G14" s="13"/>
      <c r="H14" s="15">
        <v>1</v>
      </c>
      <c r="J14" s="10">
        <f t="shared" si="1"/>
        <v>5.6348302987523531E-3</v>
      </c>
    </row>
    <row r="15" spans="2:10" x14ac:dyDescent="0.35">
      <c r="G15" s="13"/>
    </row>
    <row r="16" spans="2:10" x14ac:dyDescent="0.35">
      <c r="G16" s="13"/>
    </row>
    <row r="17" spans="2:12" x14ac:dyDescent="0.35">
      <c r="B17" s="17" t="s">
        <v>15</v>
      </c>
      <c r="G17" s="13"/>
    </row>
    <row r="18" spans="2:12" x14ac:dyDescent="0.35">
      <c r="B18" t="s">
        <v>16</v>
      </c>
      <c r="C18" s="16">
        <f>'Ratio calcs'!C10</f>
        <v>5000000</v>
      </c>
      <c r="G18" s="13"/>
    </row>
    <row r="19" spans="2:12" x14ac:dyDescent="0.35">
      <c r="B19" t="s">
        <v>17</v>
      </c>
      <c r="C19" s="16">
        <v>-250000</v>
      </c>
      <c r="G19" s="13"/>
    </row>
    <row r="20" spans="2:12" x14ac:dyDescent="0.35">
      <c r="B20" t="s">
        <v>18</v>
      </c>
      <c r="C20" s="35">
        <f>0.171*(C18+C19)*-1</f>
        <v>-812250.00000000012</v>
      </c>
      <c r="G20" s="13"/>
    </row>
    <row r="21" spans="2:12" x14ac:dyDescent="0.35">
      <c r="B21" t="s">
        <v>19</v>
      </c>
      <c r="C21" s="16">
        <f>SUM(C18:C20)</f>
        <v>3937750</v>
      </c>
      <c r="G21" s="13"/>
    </row>
    <row r="22" spans="2:12" x14ac:dyDescent="0.35">
      <c r="C22" s="16"/>
      <c r="G22" s="13"/>
    </row>
    <row r="23" spans="2:12" x14ac:dyDescent="0.35">
      <c r="B23" t="s">
        <v>20</v>
      </c>
      <c r="C23" s="16">
        <f>C37</f>
        <v>668465.19595565205</v>
      </c>
      <c r="G23" s="13"/>
    </row>
    <row r="24" spans="2:12" x14ac:dyDescent="0.35">
      <c r="B24" t="s">
        <v>21</v>
      </c>
      <c r="C24" s="16">
        <f>C21-C23</f>
        <v>3269284.8040443482</v>
      </c>
      <c r="G24" s="13"/>
    </row>
    <row r="25" spans="2:12" x14ac:dyDescent="0.35">
      <c r="C25" s="16"/>
      <c r="G25" s="13"/>
    </row>
    <row r="26" spans="2:12" x14ac:dyDescent="0.35">
      <c r="B26" t="s">
        <v>22</v>
      </c>
      <c r="C26" s="16">
        <f>C24/H10</f>
        <v>7226056.5642231945</v>
      </c>
      <c r="D26"/>
      <c r="G26" s="13"/>
    </row>
    <row r="27" spans="2:12" x14ac:dyDescent="0.35">
      <c r="B27" t="s">
        <v>23</v>
      </c>
      <c r="C27" s="16">
        <f>C26*(1-H11)-C24</f>
        <v>3923748.7143731946</v>
      </c>
      <c r="G27" s="13"/>
    </row>
    <row r="28" spans="2:12" x14ac:dyDescent="0.35">
      <c r="G28" s="13"/>
    </row>
    <row r="29" spans="2:12" x14ac:dyDescent="0.35">
      <c r="B29" t="s">
        <v>24</v>
      </c>
      <c r="C29" s="4" t="s">
        <v>25</v>
      </c>
      <c r="D29" s="13" t="s">
        <v>26</v>
      </c>
      <c r="E29" s="5" t="s">
        <v>27</v>
      </c>
      <c r="F29" s="5" t="s">
        <v>14</v>
      </c>
      <c r="G29" s="20" t="s">
        <v>28</v>
      </c>
    </row>
    <row r="30" spans="2:12" x14ac:dyDescent="0.35">
      <c r="B30" t="s">
        <v>29</v>
      </c>
    </row>
    <row r="31" spans="2:12" x14ac:dyDescent="0.35">
      <c r="B31" s="19" t="s">
        <v>30</v>
      </c>
      <c r="C31" s="4">
        <f>$F31*C$38</f>
        <v>226215.00226215005</v>
      </c>
      <c r="D31" s="4">
        <f t="shared" ref="D31:E34" si="2">$F31*D$38</f>
        <v>30793.950850661622</v>
      </c>
      <c r="E31" s="4">
        <f t="shared" si="2"/>
        <v>242991.04688718831</v>
      </c>
      <c r="F31" s="6">
        <v>500000</v>
      </c>
      <c r="G31" s="20" t="s">
        <v>31</v>
      </c>
      <c r="L31" s="1">
        <f>C31-49500</f>
        <v>176715.00226215005</v>
      </c>
    </row>
    <row r="32" spans="2:12" x14ac:dyDescent="0.35">
      <c r="B32" s="19" t="s">
        <v>32</v>
      </c>
      <c r="C32" s="4">
        <f>$F32*C$38</f>
        <v>80306.190074061917</v>
      </c>
      <c r="D32" s="4">
        <f t="shared" si="2"/>
        <v>10931.834075614366</v>
      </c>
      <c r="E32" s="4">
        <f t="shared" si="2"/>
        <v>86261.675850323722</v>
      </c>
      <c r="F32" s="6">
        <v>177499.7</v>
      </c>
      <c r="G32" s="20" t="s">
        <v>33</v>
      </c>
    </row>
    <row r="33" spans="2:14" x14ac:dyDescent="0.35">
      <c r="B33" s="18"/>
      <c r="C33" s="4"/>
      <c r="D33" s="13"/>
      <c r="E33" s="5"/>
      <c r="N33" s="37"/>
    </row>
    <row r="34" spans="2:14" x14ac:dyDescent="0.35">
      <c r="B34" s="18" t="s">
        <v>34</v>
      </c>
      <c r="C34" s="4">
        <f>$F34*C$38</f>
        <v>361944.00361944007</v>
      </c>
      <c r="D34" s="4">
        <f t="shared" si="2"/>
        <v>49270.321361058595</v>
      </c>
      <c r="E34" s="4">
        <f t="shared" si="2"/>
        <v>388785.6750195013</v>
      </c>
      <c r="F34" s="6">
        <v>800000</v>
      </c>
      <c r="G34" s="20" t="s">
        <v>35</v>
      </c>
    </row>
    <row r="35" spans="2:14" x14ac:dyDescent="0.35">
      <c r="B35" s="18"/>
      <c r="C35" s="4"/>
      <c r="D35" s="13"/>
      <c r="E35" s="5"/>
    </row>
    <row r="36" spans="2:14" x14ac:dyDescent="0.35">
      <c r="B36" s="18"/>
      <c r="C36" s="4"/>
      <c r="D36" s="13"/>
      <c r="E36" s="5"/>
    </row>
    <row r="37" spans="2:14" x14ac:dyDescent="0.35">
      <c r="B37" t="s">
        <v>14</v>
      </c>
      <c r="C37" s="4">
        <f>SUM(C31:C36)</f>
        <v>668465.19595565205</v>
      </c>
      <c r="D37" s="4">
        <f t="shared" ref="D37:E37" si="3">SUM(D31:D36)</f>
        <v>90996.10628733458</v>
      </c>
      <c r="E37" s="4">
        <f t="shared" si="3"/>
        <v>718038.39775701333</v>
      </c>
      <c r="F37" s="4">
        <f>SUM(C37:E37)</f>
        <v>1477499.7</v>
      </c>
    </row>
    <row r="38" spans="2:14" s="10" customFormat="1" x14ac:dyDescent="0.35">
      <c r="B38" s="10" t="s">
        <v>36</v>
      </c>
      <c r="C38" s="13">
        <f>H10</f>
        <v>0.4524300045243001</v>
      </c>
      <c r="D38" s="13">
        <f>H6</f>
        <v>6.1587901701323243E-2</v>
      </c>
      <c r="E38" s="13">
        <f>1-C38-D38</f>
        <v>0.48598209377437662</v>
      </c>
      <c r="F38" s="13">
        <f>SUM(C38:E38)</f>
        <v>1</v>
      </c>
      <c r="G38" s="20"/>
      <c r="H38" s="13"/>
    </row>
    <row r="39" spans="2:14" x14ac:dyDescent="0.35">
      <c r="C39" s="4"/>
      <c r="D39" s="13"/>
      <c r="E39" s="5"/>
    </row>
    <row r="40" spans="2:14" x14ac:dyDescent="0.35">
      <c r="C40" s="4"/>
      <c r="D40" s="13"/>
      <c r="E40" s="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449E7-3B15-40A9-8D9A-EAA90380F01D}">
  <dimension ref="B2:Q18"/>
  <sheetViews>
    <sheetView showGridLines="0" workbookViewId="0">
      <selection activeCell="B27" sqref="B27"/>
    </sheetView>
  </sheetViews>
  <sheetFormatPr defaultRowHeight="14.5" outlineLevelCol="1" x14ac:dyDescent="0.35"/>
  <cols>
    <col min="2" max="2" width="27.7265625" bestFit="1" customWidth="1"/>
    <col min="3" max="3" width="13" style="1" hidden="1" customWidth="1" outlineLevel="1"/>
    <col min="4" max="4" width="14.7265625" style="21" hidden="1" customWidth="1" outlineLevel="1"/>
    <col min="5" max="5" width="0" hidden="1" customWidth="1" outlineLevel="1"/>
    <col min="6" max="6" width="9.1796875" style="1" collapsed="1"/>
    <col min="7" max="7" width="11.1796875" style="1" bestFit="1" customWidth="1"/>
    <col min="8" max="8" width="9.1796875" style="10"/>
    <col min="9" max="9" width="2.54296875" customWidth="1"/>
    <col min="11" max="11" width="10.1796875" bestFit="1" customWidth="1"/>
    <col min="12" max="12" width="2.54296875" customWidth="1"/>
    <col min="13" max="13" width="9.1796875" style="1"/>
    <col min="14" max="15" width="9.1796875" style="10"/>
  </cols>
  <sheetData>
    <row r="2" spans="2:17" ht="18.5" x14ac:dyDescent="0.45">
      <c r="B2" s="32" t="s">
        <v>37</v>
      </c>
    </row>
    <row r="3" spans="2:17" x14ac:dyDescent="0.35">
      <c r="G3" s="25"/>
      <c r="H3" s="26"/>
      <c r="M3" s="25"/>
      <c r="N3" s="26"/>
    </row>
    <row r="4" spans="2:17" s="17" customFormat="1" x14ac:dyDescent="0.35">
      <c r="C4" s="27" t="str">
        <f>'Ratio calcs'!C3</f>
        <v>Capital commitment summary</v>
      </c>
      <c r="D4" s="28"/>
      <c r="F4" s="27" t="s">
        <v>38</v>
      </c>
      <c r="G4" s="27"/>
      <c r="H4" s="29"/>
      <c r="J4" s="31" t="s">
        <v>39</v>
      </c>
      <c r="K4" s="31"/>
      <c r="M4" s="29" t="s">
        <v>40</v>
      </c>
      <c r="N4" s="29"/>
      <c r="O4" s="30"/>
    </row>
    <row r="5" spans="2:17" x14ac:dyDescent="0.35">
      <c r="B5" t="str">
        <f>'Ratio calcs'!B4</f>
        <v>Idea Fund of La Crosse II, LP</v>
      </c>
      <c r="C5" s="4" t="str">
        <f>'Ratio calcs'!C4</f>
        <v>$</v>
      </c>
      <c r="D5" s="3" t="str">
        <f>'Ratio calcs'!D4</f>
        <v>% fund</v>
      </c>
      <c r="F5" s="4" t="s">
        <v>3</v>
      </c>
      <c r="G5" s="4" t="s">
        <v>41</v>
      </c>
      <c r="H5" s="13" t="s">
        <v>42</v>
      </c>
      <c r="J5" s="4" t="s">
        <v>3</v>
      </c>
      <c r="K5" s="5" t="s">
        <v>41</v>
      </c>
      <c r="M5" s="4" t="s">
        <v>41</v>
      </c>
      <c r="N5" s="13" t="s">
        <v>42</v>
      </c>
    </row>
    <row r="6" spans="2:17" x14ac:dyDescent="0.35">
      <c r="B6" t="str">
        <f>'Ratio calcs'!B5</f>
        <v xml:space="preserve">  All non-BFOF</v>
      </c>
      <c r="C6" s="1">
        <f>'Ratio calcs'!C5</f>
        <v>23450000</v>
      </c>
      <c r="D6" s="21">
        <f>'Ratio calcs'!D5</f>
        <v>0.88657844990548207</v>
      </c>
      <c r="F6" s="1">
        <f>D6*$F$8</f>
        <v>398960.30245746695</v>
      </c>
      <c r="G6" s="1">
        <f>F6/$G$17</f>
        <v>221644.61247637053</v>
      </c>
      <c r="H6" s="10">
        <f>G6/$G$15</f>
        <v>0.797920604914934</v>
      </c>
      <c r="J6" s="1">
        <f>K6*$K$17*-1</f>
        <v>189025.91367359809</v>
      </c>
      <c r="K6" s="1">
        <f>M6-G6</f>
        <v>-87919.02961562702</v>
      </c>
      <c r="M6" s="1">
        <f>N6*$G$15</f>
        <v>133725.58286074351</v>
      </c>
      <c r="N6" s="10">
        <f>'Ratio calcs'!H5</f>
        <v>0.48141209829867665</v>
      </c>
      <c r="Q6" s="1"/>
    </row>
    <row r="7" spans="2:17" x14ac:dyDescent="0.35">
      <c r="B7" t="str">
        <f>'Ratio calcs'!B6</f>
        <v xml:space="preserve">  BFOF</v>
      </c>
      <c r="C7" s="23">
        <f>'Ratio calcs'!C6</f>
        <v>3000000</v>
      </c>
      <c r="D7" s="24">
        <f>'Ratio calcs'!D6</f>
        <v>0.11342155009451796</v>
      </c>
      <c r="F7" s="23">
        <f>D7*$F$8</f>
        <v>51039.697542533082</v>
      </c>
      <c r="G7" s="23">
        <f>F7/$G$17</f>
        <v>28355.387523629488</v>
      </c>
      <c r="H7" s="11">
        <f t="shared" ref="H7:H8" si="0">G7/$G$15</f>
        <v>0.10207939508506617</v>
      </c>
      <c r="J7" s="1">
        <f>K7*$K$17*-1</f>
        <v>24182.419659735351</v>
      </c>
      <c r="K7" s="23">
        <f>M7-G7</f>
        <v>-11247.637051039699</v>
      </c>
      <c r="M7" s="23">
        <f>N7*$G$15</f>
        <v>17107.750472589789</v>
      </c>
      <c r="N7" s="11">
        <f>'Ratio calcs'!H6</f>
        <v>6.1587901701323243E-2</v>
      </c>
      <c r="Q7" s="1"/>
    </row>
    <row r="8" spans="2:17" x14ac:dyDescent="0.35">
      <c r="B8" t="str">
        <f>'Ratio calcs'!B7</f>
        <v>Idea Fund II</v>
      </c>
      <c r="C8" s="1">
        <f>'Ratio calcs'!C7</f>
        <v>26450000</v>
      </c>
      <c r="D8" s="21">
        <f>'Ratio calcs'!D7</f>
        <v>1</v>
      </c>
      <c r="F8" s="1">
        <v>450000</v>
      </c>
      <c r="G8" s="1">
        <f>F8/$G$17</f>
        <v>250000</v>
      </c>
      <c r="H8" s="10">
        <f t="shared" si="0"/>
        <v>0.90000000000000013</v>
      </c>
      <c r="J8" s="33">
        <f>SUM(J6:J7)</f>
        <v>213208.33333333343</v>
      </c>
      <c r="K8" s="1">
        <f>SUM(K6:K7)</f>
        <v>-99166.666666666715</v>
      </c>
      <c r="M8" s="1">
        <f>SUM(M6:M7)</f>
        <v>150833.33333333331</v>
      </c>
      <c r="N8" s="10">
        <f>SUM(N6:N7)</f>
        <v>0.54299999999999993</v>
      </c>
      <c r="Q8" s="1"/>
    </row>
    <row r="9" spans="2:17" x14ac:dyDescent="0.35">
      <c r="J9" s="1"/>
    </row>
    <row r="10" spans="2:17" x14ac:dyDescent="0.35">
      <c r="B10" t="str">
        <f>'Ratio calcs'!B9</f>
        <v>Idea Fund of La Crosse II-A, LP</v>
      </c>
      <c r="C10" s="1">
        <f>'Ratio calcs'!C9</f>
        <v>0</v>
      </c>
      <c r="D10" s="21">
        <f>'Ratio calcs'!D9</f>
        <v>0</v>
      </c>
      <c r="J10" s="1"/>
    </row>
    <row r="11" spans="2:17" x14ac:dyDescent="0.35">
      <c r="B11" t="str">
        <f>'Ratio calcs'!B10</f>
        <v xml:space="preserve">  SSBCI</v>
      </c>
      <c r="C11" s="1">
        <f>'Ratio calcs'!C10</f>
        <v>5000000</v>
      </c>
      <c r="D11" s="21">
        <f>'Ratio calcs'!D10</f>
        <v>0.99000000990000014</v>
      </c>
      <c r="F11" s="1">
        <f>D11*$F$13</f>
        <v>49500.000495000008</v>
      </c>
      <c r="G11" s="1">
        <f>F11/$G$17</f>
        <v>27500.000275000002</v>
      </c>
      <c r="H11" s="10">
        <f t="shared" ref="H11:H13" si="1">G11/$G$15</f>
        <v>9.9000000990000017E-2</v>
      </c>
      <c r="J11" s="1">
        <f>K11*$K$17*-1</f>
        <v>-211076.25211076252</v>
      </c>
      <c r="K11" s="1">
        <f>M11-G11</f>
        <v>98175.00098175001</v>
      </c>
      <c r="M11" s="1">
        <f>N11*$G$15</f>
        <v>125675.00125675001</v>
      </c>
      <c r="N11" s="10">
        <f>'Ratio calcs'!H10</f>
        <v>0.4524300045243001</v>
      </c>
    </row>
    <row r="12" spans="2:17" x14ac:dyDescent="0.35">
      <c r="B12" t="str">
        <f>'Ratio calcs'!B11</f>
        <v xml:space="preserve">  Idea Fund GP</v>
      </c>
      <c r="C12" s="23">
        <f>'Ratio calcs'!C11</f>
        <v>50505</v>
      </c>
      <c r="D12" s="24">
        <f>'Ratio calcs'!D11</f>
        <v>9.999990099999901E-3</v>
      </c>
      <c r="F12" s="23">
        <f>D12*$F$13</f>
        <v>499.99950499999505</v>
      </c>
      <c r="G12" s="23">
        <f>F12/$G$17</f>
        <v>277.777502777775</v>
      </c>
      <c r="H12" s="11">
        <f t="shared" si="1"/>
        <v>9.999990099999901E-4</v>
      </c>
      <c r="J12" s="23">
        <f>K12*$K$17*-1</f>
        <v>-2132.0812225708123</v>
      </c>
      <c r="K12" s="23">
        <f>M12-G12</f>
        <v>991.66568491665703</v>
      </c>
      <c r="M12" s="23">
        <f>N12*$G$15</f>
        <v>1269.443187694432</v>
      </c>
      <c r="N12" s="11">
        <f>'Ratio calcs'!H11</f>
        <v>4.5699954756999554E-3</v>
      </c>
    </row>
    <row r="13" spans="2:17" x14ac:dyDescent="0.35">
      <c r="B13" t="str">
        <f>'Ratio calcs'!B12</f>
        <v>Idea Fund II-A</v>
      </c>
      <c r="C13" s="1">
        <f>'Ratio calcs'!C12</f>
        <v>5050505</v>
      </c>
      <c r="D13" s="21">
        <f>'Ratio calcs'!D12</f>
        <v>1</v>
      </c>
      <c r="F13" s="1">
        <v>50000</v>
      </c>
      <c r="G13" s="1">
        <f>F13/$G$17</f>
        <v>27777.777777777777</v>
      </c>
      <c r="H13" s="10">
        <f t="shared" si="1"/>
        <v>0.1</v>
      </c>
      <c r="J13" s="1">
        <f>SUM(J11:J12)</f>
        <v>-213208.33333333334</v>
      </c>
      <c r="K13" s="1">
        <f>SUM(K11:K12)</f>
        <v>99166.666666666672</v>
      </c>
      <c r="M13" s="1">
        <f>SUM(M11:M12)</f>
        <v>126944.44444444444</v>
      </c>
      <c r="N13" s="10">
        <f>SUM(N11:N12)</f>
        <v>0.45700000000000007</v>
      </c>
    </row>
    <row r="15" spans="2:17" x14ac:dyDescent="0.35">
      <c r="B15" t="str">
        <f>'Ratio calcs'!B14</f>
        <v>Total</v>
      </c>
      <c r="C15" s="1">
        <f>'Ratio calcs'!C14</f>
        <v>31500505</v>
      </c>
      <c r="D15" s="21">
        <f>'Ratio calcs'!D14</f>
        <v>0</v>
      </c>
      <c r="F15" s="1">
        <f>F13+F8</f>
        <v>500000</v>
      </c>
      <c r="G15" s="1">
        <f>G13+G8</f>
        <v>277777.77777777775</v>
      </c>
      <c r="H15" s="10">
        <f>H13+H8</f>
        <v>1.0000000000000002</v>
      </c>
      <c r="M15" s="1">
        <f>M13+M8</f>
        <v>277777.77777777775</v>
      </c>
      <c r="N15" s="10">
        <f>N13+N8</f>
        <v>1</v>
      </c>
    </row>
    <row r="17" spans="6:11" x14ac:dyDescent="0.35">
      <c r="F17" t="s">
        <v>43</v>
      </c>
      <c r="G17" s="22">
        <v>1.8</v>
      </c>
      <c r="J17" t="str">
        <f>F17</f>
        <v>Share px</v>
      </c>
      <c r="K17" s="22">
        <v>2.15</v>
      </c>
    </row>
    <row r="18" spans="6:11" x14ac:dyDescent="0.35">
      <c r="K18" s="2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3B554-FE11-4AD9-A8DC-F28A635EE9E1}">
  <dimension ref="A1:B22"/>
  <sheetViews>
    <sheetView tabSelected="1" workbookViewId="0">
      <selection activeCell="B3" sqref="B3"/>
    </sheetView>
  </sheetViews>
  <sheetFormatPr defaultRowHeight="14.5" x14ac:dyDescent="0.35"/>
  <cols>
    <col min="1" max="1" width="8.7265625" style="17"/>
    <col min="2" max="2" width="83.54296875" style="73" customWidth="1"/>
  </cols>
  <sheetData>
    <row r="1" spans="1:2" x14ac:dyDescent="0.35">
      <c r="B1" s="94"/>
    </row>
    <row r="2" spans="1:2" x14ac:dyDescent="0.35">
      <c r="B2" s="95" t="s">
        <v>44</v>
      </c>
    </row>
    <row r="3" spans="1:2" ht="58" x14ac:dyDescent="0.35">
      <c r="B3" s="93" t="s">
        <v>45</v>
      </c>
    </row>
    <row r="4" spans="1:2" x14ac:dyDescent="0.35">
      <c r="B4" s="94"/>
    </row>
    <row r="5" spans="1:2" x14ac:dyDescent="0.35">
      <c r="A5" s="17" t="s">
        <v>46</v>
      </c>
      <c r="B5" s="96" t="s">
        <v>47</v>
      </c>
    </row>
    <row r="6" spans="1:2" x14ac:dyDescent="0.35">
      <c r="B6" s="94"/>
    </row>
    <row r="7" spans="1:2" ht="29" x14ac:dyDescent="0.35">
      <c r="A7" s="17" t="s">
        <v>48</v>
      </c>
      <c r="B7" s="94" t="s">
        <v>87</v>
      </c>
    </row>
    <row r="8" spans="1:2" x14ac:dyDescent="0.35">
      <c r="A8" s="17" t="s">
        <v>49</v>
      </c>
      <c r="B8" s="94" t="s">
        <v>50</v>
      </c>
    </row>
    <row r="9" spans="1:2" ht="18" customHeight="1" x14ac:dyDescent="0.35">
      <c r="A9" s="17" t="s">
        <v>51</v>
      </c>
      <c r="B9" s="94" t="s">
        <v>53</v>
      </c>
    </row>
    <row r="10" spans="1:2" ht="29" x14ac:dyDescent="0.35">
      <c r="A10" s="17" t="s">
        <v>52</v>
      </c>
      <c r="B10" s="102" t="s">
        <v>55</v>
      </c>
    </row>
    <row r="11" spans="1:2" ht="29" x14ac:dyDescent="0.35">
      <c r="A11" s="17" t="s">
        <v>54</v>
      </c>
      <c r="B11" s="94" t="s">
        <v>57</v>
      </c>
    </row>
    <row r="12" spans="1:2" x14ac:dyDescent="0.35">
      <c r="A12" s="17" t="s">
        <v>56</v>
      </c>
      <c r="B12" s="94" t="s">
        <v>59</v>
      </c>
    </row>
    <row r="13" spans="1:2" x14ac:dyDescent="0.35">
      <c r="B13" s="94"/>
    </row>
    <row r="14" spans="1:2" x14ac:dyDescent="0.35">
      <c r="B14" s="97" t="s">
        <v>89</v>
      </c>
    </row>
    <row r="15" spans="1:2" ht="29" x14ac:dyDescent="0.35">
      <c r="A15" s="17" t="s">
        <v>58</v>
      </c>
      <c r="B15" s="73" t="s">
        <v>91</v>
      </c>
    </row>
    <row r="16" spans="1:2" x14ac:dyDescent="0.35">
      <c r="B16" s="94"/>
    </row>
    <row r="17" spans="1:2" x14ac:dyDescent="0.35">
      <c r="B17" s="97" t="s">
        <v>88</v>
      </c>
    </row>
    <row r="18" spans="1:2" ht="58" x14ac:dyDescent="0.35">
      <c r="A18" s="17" t="s">
        <v>60</v>
      </c>
      <c r="B18" s="104" t="s">
        <v>90</v>
      </c>
    </row>
    <row r="19" spans="1:2" x14ac:dyDescent="0.35">
      <c r="B19" s="94"/>
    </row>
    <row r="20" spans="1:2" x14ac:dyDescent="0.35">
      <c r="B20" s="97" t="s">
        <v>61</v>
      </c>
    </row>
    <row r="21" spans="1:2" ht="203" x14ac:dyDescent="0.35">
      <c r="A21" s="17">
        <v>1</v>
      </c>
      <c r="B21" s="94" t="s">
        <v>62</v>
      </c>
    </row>
    <row r="22" spans="1:2" ht="43.5" x14ac:dyDescent="0.35">
      <c r="A22" s="17">
        <v>2</v>
      </c>
      <c r="B22" s="94" t="s">
        <v>63</v>
      </c>
    </row>
  </sheetData>
  <sheetProtection algorithmName="SHA-512" hashValue="nNlt7waQfXPQV4tVzNBAwzH4HBpsxna+7WworE6UvHlBzBKXpXmjxrGSz6a7mQkFeucrqBr4c0Fd6kutTYSqMQ==" saltValue="toR0s8CqQ3b1+CJN0LaY1A==" spinCount="100000" sheet="1" objects="1" scenarios="1"/>
  <phoneticPr fontId="7" type="noConversion"/>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C97A5-33C8-44D4-95DC-A7C8E1F708A8}">
  <dimension ref="B1:J17"/>
  <sheetViews>
    <sheetView workbookViewId="0">
      <selection activeCell="B5" sqref="B5"/>
    </sheetView>
  </sheetViews>
  <sheetFormatPr defaultRowHeight="14.5" x14ac:dyDescent="0.35"/>
  <cols>
    <col min="2" max="2" width="41.1796875" bestFit="1" customWidth="1"/>
    <col min="3" max="3" width="16.1796875" style="1" customWidth="1"/>
    <col min="4" max="4" width="10.81640625" style="10" bestFit="1" customWidth="1"/>
    <col min="5" max="5" width="10.81640625" style="10" customWidth="1"/>
    <col min="6" max="6" width="15.453125" style="5" bestFit="1" customWidth="1"/>
    <col min="7" max="7" width="12.7265625" style="20" bestFit="1" customWidth="1"/>
    <col min="8" max="8" width="9.1796875" bestFit="1" customWidth="1"/>
    <col min="9" max="9" width="9.1796875" style="10" bestFit="1" customWidth="1"/>
    <col min="10" max="10" width="10.7265625" bestFit="1" customWidth="1"/>
  </cols>
  <sheetData>
    <row r="1" spans="2:10" x14ac:dyDescent="0.35">
      <c r="G1" s="13"/>
    </row>
    <row r="2" spans="2:10" x14ac:dyDescent="0.35">
      <c r="G2" s="13"/>
    </row>
    <row r="3" spans="2:10" x14ac:dyDescent="0.35">
      <c r="B3" s="55" t="s">
        <v>64</v>
      </c>
      <c r="C3" s="55"/>
      <c r="G3" s="13"/>
    </row>
    <row r="4" spans="2:10" x14ac:dyDescent="0.35">
      <c r="C4" s="65" t="s">
        <v>65</v>
      </c>
      <c r="D4" s="66"/>
      <c r="E4" s="66"/>
      <c r="F4" s="68" t="s">
        <v>1</v>
      </c>
      <c r="G4" s="13"/>
    </row>
    <row r="5" spans="2:10" x14ac:dyDescent="0.35">
      <c r="B5" s="74" t="s">
        <v>66</v>
      </c>
      <c r="C5" s="69" t="s">
        <v>3</v>
      </c>
      <c r="D5" s="70" t="s">
        <v>67</v>
      </c>
      <c r="E5" s="70"/>
      <c r="F5" s="71" t="str">
        <f>C5</f>
        <v>$</v>
      </c>
      <c r="G5" s="70" t="str">
        <f>D5</f>
        <v>% of Fund</v>
      </c>
      <c r="H5" s="17"/>
      <c r="I5" s="30" t="s">
        <v>68</v>
      </c>
    </row>
    <row r="6" spans="2:10" x14ac:dyDescent="0.35">
      <c r="B6" t="s">
        <v>69</v>
      </c>
      <c r="C6" s="57">
        <f>C11-C9-C10-C8-C7</f>
        <v>5000000</v>
      </c>
      <c r="D6" s="40">
        <f>C6/$C$11</f>
        <v>0.25</v>
      </c>
      <c r="E6" s="40"/>
      <c r="F6" s="42">
        <f>$F$11*G6</f>
        <v>250000</v>
      </c>
      <c r="G6" s="40">
        <f>D6</f>
        <v>0.25</v>
      </c>
      <c r="I6" s="10">
        <f t="shared" ref="I6:I11" si="0">F6/C6</f>
        <v>0.05</v>
      </c>
      <c r="J6" s="10"/>
    </row>
    <row r="7" spans="2:10" x14ac:dyDescent="0.35">
      <c r="B7" t="s">
        <v>70</v>
      </c>
      <c r="C7" s="59">
        <v>6000000</v>
      </c>
      <c r="D7" s="40">
        <f>C7/$C$11</f>
        <v>0.3</v>
      </c>
      <c r="E7" s="40"/>
      <c r="F7" s="42">
        <f>$F$11*G7</f>
        <v>300000</v>
      </c>
      <c r="G7" s="40">
        <f>D7</f>
        <v>0.3</v>
      </c>
      <c r="I7" s="10">
        <f t="shared" si="0"/>
        <v>0.05</v>
      </c>
    </row>
    <row r="8" spans="2:10" x14ac:dyDescent="0.35">
      <c r="B8" t="s">
        <v>71</v>
      </c>
      <c r="C8" s="59">
        <v>5000000</v>
      </c>
      <c r="D8" s="40">
        <f>C8/$C$11</f>
        <v>0.25</v>
      </c>
      <c r="E8" s="40"/>
      <c r="F8" s="42">
        <f>$F$11*G8</f>
        <v>250000</v>
      </c>
      <c r="G8" s="40">
        <f>D8</f>
        <v>0.25</v>
      </c>
      <c r="I8" s="10">
        <f t="shared" si="0"/>
        <v>0.05</v>
      </c>
    </row>
    <row r="9" spans="2:10" x14ac:dyDescent="0.35">
      <c r="B9" t="s">
        <v>72</v>
      </c>
      <c r="C9" s="59">
        <v>2000000</v>
      </c>
      <c r="D9" s="40">
        <f>C9/$C$11</f>
        <v>0.1</v>
      </c>
      <c r="E9" s="40"/>
      <c r="F9" s="42">
        <f>$F$11*G9</f>
        <v>100000</v>
      </c>
      <c r="G9" s="40">
        <f t="shared" ref="G9:G10" si="1">D9</f>
        <v>0.1</v>
      </c>
      <c r="H9" s="36"/>
      <c r="I9" s="10">
        <f t="shared" si="0"/>
        <v>0.05</v>
      </c>
    </row>
    <row r="10" spans="2:10" x14ac:dyDescent="0.35">
      <c r="B10" t="s">
        <v>73</v>
      </c>
      <c r="C10" s="60">
        <v>2000000</v>
      </c>
      <c r="D10" s="44">
        <f>C10/$C$11</f>
        <v>0.1</v>
      </c>
      <c r="E10" s="40"/>
      <c r="F10" s="45">
        <f>$F$11*G10</f>
        <v>100000</v>
      </c>
      <c r="G10" s="40">
        <f t="shared" si="1"/>
        <v>0.1</v>
      </c>
      <c r="H10" s="36"/>
      <c r="I10" s="10">
        <f t="shared" si="0"/>
        <v>0.05</v>
      </c>
    </row>
    <row r="11" spans="2:10" x14ac:dyDescent="0.35">
      <c r="B11" s="17" t="s">
        <v>74</v>
      </c>
      <c r="C11" s="61">
        <v>20000000</v>
      </c>
      <c r="D11" s="40">
        <f>SUM(D6:D10)</f>
        <v>1</v>
      </c>
      <c r="E11" s="40"/>
      <c r="F11" s="42">
        <v>1000000</v>
      </c>
      <c r="G11" s="47">
        <f>SUM(G6:G10)</f>
        <v>1</v>
      </c>
      <c r="I11" s="58">
        <f t="shared" si="0"/>
        <v>0.05</v>
      </c>
    </row>
    <row r="12" spans="2:10" x14ac:dyDescent="0.35">
      <c r="B12" s="17"/>
      <c r="C12" s="90"/>
      <c r="D12" s="40"/>
      <c r="E12" s="40"/>
      <c r="F12" s="91"/>
      <c r="G12" s="40"/>
    </row>
    <row r="13" spans="2:10" x14ac:dyDescent="0.35">
      <c r="C13" s="103"/>
      <c r="D13" s="40"/>
      <c r="E13" s="40"/>
      <c r="F13" s="92" t="s">
        <v>75</v>
      </c>
      <c r="G13" s="40"/>
    </row>
    <row r="14" spans="2:10" x14ac:dyDescent="0.35">
      <c r="F14" s="75" t="s">
        <v>71</v>
      </c>
      <c r="G14" s="76">
        <f>F8</f>
        <v>250000</v>
      </c>
      <c r="H14" s="77"/>
      <c r="I14"/>
      <c r="J14" s="10"/>
    </row>
    <row r="15" spans="2:10" x14ac:dyDescent="0.35">
      <c r="F15" s="79" t="s">
        <v>76</v>
      </c>
      <c r="G15" s="9">
        <f>F6</f>
        <v>250000</v>
      </c>
      <c r="H15" s="80" t="str">
        <f>IF(F6&lt;F8,"error","ok")</f>
        <v>ok</v>
      </c>
      <c r="I15"/>
      <c r="J15" s="10"/>
    </row>
    <row r="16" spans="2:10" x14ac:dyDescent="0.35">
      <c r="C16" s="4"/>
      <c r="D16" s="13"/>
      <c r="E16" s="13"/>
    </row>
    <row r="17" spans="3:5" x14ac:dyDescent="0.35">
      <c r="C17" s="4"/>
      <c r="D17" s="13"/>
      <c r="E17" s="13"/>
    </row>
  </sheetData>
  <sheetProtection algorithmName="SHA-512" hashValue="9lFKtbQMxThK2qaqRM/FgQr95pdRkPDG8lGfqa+IZSYb9bGejN5HnNRpTUiLvWUsMjH5xfmaJlZ54p4RQ+h6rA==" saltValue="C+3UAjBmwvs/UCcmC8+xbA==" spinCount="100000" sheet="1" objects="1" scenarios="1"/>
  <pageMargins left="0.7" right="0.7" top="0.75" bottom="0.75" header="0.3" footer="0.3"/>
  <pageSetup orientation="portrait" verticalDpi="0" r:id="rId1"/>
  <extLst>
    <ext xmlns:x14="http://schemas.microsoft.com/office/spreadsheetml/2009/9/main" uri="{78C0D931-6437-407d-A8EE-F0AAD7539E65}">
      <x14:conditionalFormattings>
        <x14:conditionalFormatting xmlns:xm="http://schemas.microsoft.com/office/excel/2006/main">
          <x14:cfRule type="containsText" priority="1" operator="containsText" id="{9E91E5BC-BD73-47DD-9562-8C5CDDA9EC8B}">
            <xm:f>NOT(ISERROR(SEARCH("ok",H15)))</xm:f>
            <xm:f>"ok"</xm:f>
            <x14:dxf>
              <font>
                <color rgb="FF006100"/>
              </font>
              <fill>
                <patternFill>
                  <bgColor rgb="FFC6EFCE"/>
                </patternFill>
              </fill>
            </x14:dxf>
          </x14:cfRule>
          <x14:cfRule type="containsText" priority="2" operator="containsText" id="{1BE7D744-42CF-42CB-B928-8E10D9DB02C5}">
            <xm:f>NOT(ISERROR(SEARCH("error",H15)))</xm:f>
            <xm:f>"error"</xm:f>
            <x14:dxf>
              <font>
                <color rgb="FF9C0006"/>
              </font>
              <fill>
                <patternFill>
                  <bgColor rgb="FFFFC7CE"/>
                </patternFill>
              </fill>
            </x14:dxf>
          </x14:cfRule>
          <xm:sqref>H15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35B43-E4A2-4736-BD7C-E65693CB9835}">
  <dimension ref="B1:K26"/>
  <sheetViews>
    <sheetView workbookViewId="0">
      <selection activeCell="M15" sqref="M15"/>
    </sheetView>
  </sheetViews>
  <sheetFormatPr defaultRowHeight="14.5" x14ac:dyDescent="0.35"/>
  <cols>
    <col min="2" max="2" width="41.1796875" bestFit="1" customWidth="1"/>
    <col min="3" max="3" width="16.1796875" style="1" customWidth="1"/>
    <col min="4" max="4" width="10.81640625" style="10" bestFit="1" customWidth="1"/>
    <col min="5" max="5" width="10.81640625" style="10" customWidth="1"/>
    <col min="6" max="6" width="12.453125" customWidth="1"/>
    <col min="7" max="7" width="18.54296875" style="5" bestFit="1" customWidth="1"/>
    <col min="8" max="8" width="12.7265625" style="20" bestFit="1" customWidth="1"/>
    <col min="9" max="9" width="10.54296875" style="13" customWidth="1"/>
    <col min="10" max="10" width="9.1796875" bestFit="1" customWidth="1"/>
    <col min="11" max="11" width="9.1796875" style="10" bestFit="1" customWidth="1"/>
    <col min="12" max="12" width="10.7265625" bestFit="1" customWidth="1"/>
  </cols>
  <sheetData>
    <row r="1" spans="2:11" x14ac:dyDescent="0.35">
      <c r="H1" s="13"/>
    </row>
    <row r="2" spans="2:11" x14ac:dyDescent="0.35">
      <c r="H2" s="13"/>
    </row>
    <row r="3" spans="2:11" x14ac:dyDescent="0.35">
      <c r="B3" s="55" t="s">
        <v>64</v>
      </c>
      <c r="C3" s="55"/>
      <c r="H3" s="13"/>
    </row>
    <row r="4" spans="2:11" x14ac:dyDescent="0.35">
      <c r="C4" s="65" t="s">
        <v>65</v>
      </c>
      <c r="D4" s="66"/>
      <c r="E4" s="66"/>
      <c r="F4" s="67"/>
      <c r="G4" s="68" t="s">
        <v>77</v>
      </c>
      <c r="H4" s="13"/>
    </row>
    <row r="5" spans="2:11" x14ac:dyDescent="0.35">
      <c r="B5" s="74" t="s">
        <v>66</v>
      </c>
      <c r="C5" s="69" t="s">
        <v>3</v>
      </c>
      <c r="D5" s="70" t="s">
        <v>67</v>
      </c>
      <c r="E5" s="70"/>
      <c r="F5" s="56"/>
      <c r="G5" s="71" t="str">
        <f>C5</f>
        <v>$</v>
      </c>
      <c r="H5" s="70" t="str">
        <f>D5</f>
        <v>% of Fund</v>
      </c>
      <c r="I5" s="70" t="s">
        <v>78</v>
      </c>
      <c r="J5" s="17"/>
      <c r="K5" s="30" t="s">
        <v>68</v>
      </c>
    </row>
    <row r="6" spans="2:11" x14ac:dyDescent="0.35">
      <c r="B6" t="s">
        <v>69</v>
      </c>
      <c r="C6" s="57">
        <f>C9-C7-C8</f>
        <v>16000000</v>
      </c>
      <c r="D6" s="40">
        <f>C6/$C$9</f>
        <v>0.8</v>
      </c>
      <c r="E6" s="40"/>
      <c r="F6" s="41"/>
      <c r="G6" s="42">
        <f>$G$9*H6</f>
        <v>480000</v>
      </c>
      <c r="H6" s="40">
        <f>D6</f>
        <v>0.8</v>
      </c>
      <c r="I6" s="43">
        <f>G6/$G$15</f>
        <v>0.48</v>
      </c>
      <c r="K6" s="10">
        <f>G6/C6</f>
        <v>0.03</v>
      </c>
    </row>
    <row r="7" spans="2:11" x14ac:dyDescent="0.35">
      <c r="B7" t="s">
        <v>72</v>
      </c>
      <c r="C7" s="59">
        <v>2000000</v>
      </c>
      <c r="D7" s="40">
        <f>C7/$C$9</f>
        <v>0.1</v>
      </c>
      <c r="E7" s="40"/>
      <c r="F7" s="41"/>
      <c r="G7" s="42">
        <f>$G$9*H7</f>
        <v>60000</v>
      </c>
      <c r="H7" s="40">
        <f t="shared" ref="H7:H8" si="0">D7</f>
        <v>0.1</v>
      </c>
      <c r="I7" s="43">
        <f>G7/$G$15</f>
        <v>0.06</v>
      </c>
      <c r="J7" s="36"/>
      <c r="K7" s="10">
        <f>G7/C7</f>
        <v>0.03</v>
      </c>
    </row>
    <row r="8" spans="2:11" x14ac:dyDescent="0.35">
      <c r="B8" t="s">
        <v>73</v>
      </c>
      <c r="C8" s="60">
        <v>2000000</v>
      </c>
      <c r="D8" s="44">
        <f>C8/$C$9</f>
        <v>0.1</v>
      </c>
      <c r="E8" s="40"/>
      <c r="F8" s="41"/>
      <c r="G8" s="45">
        <f>$G$9*H8</f>
        <v>60000</v>
      </c>
      <c r="H8" s="40">
        <f t="shared" si="0"/>
        <v>0.1</v>
      </c>
      <c r="I8" s="46">
        <f>G8/$G$15</f>
        <v>0.06</v>
      </c>
      <c r="J8" s="36"/>
      <c r="K8" s="10">
        <f>G8/C8</f>
        <v>0.03</v>
      </c>
    </row>
    <row r="9" spans="2:11" x14ac:dyDescent="0.35">
      <c r="B9" s="17" t="s">
        <v>74</v>
      </c>
      <c r="C9" s="61">
        <v>20000000</v>
      </c>
      <c r="D9" s="40">
        <f>SUM(D6:D8)</f>
        <v>1</v>
      </c>
      <c r="E9" s="40"/>
      <c r="F9" s="41"/>
      <c r="G9" s="42">
        <f>G15-G13</f>
        <v>600000</v>
      </c>
      <c r="H9" s="47">
        <f>SUM(H6:H8)</f>
        <v>1</v>
      </c>
      <c r="I9" s="43">
        <f>I15-I13</f>
        <v>0.6</v>
      </c>
      <c r="K9" s="58">
        <f>G9/C9</f>
        <v>0.03</v>
      </c>
    </row>
    <row r="10" spans="2:11" x14ac:dyDescent="0.35">
      <c r="C10" s="62"/>
      <c r="D10" s="40"/>
      <c r="E10" s="40"/>
      <c r="F10" s="41"/>
      <c r="G10" s="49"/>
      <c r="H10" s="40"/>
      <c r="I10" s="50"/>
    </row>
    <row r="11" spans="2:11" x14ac:dyDescent="0.35">
      <c r="B11" s="74" t="s">
        <v>92</v>
      </c>
      <c r="C11" s="62"/>
      <c r="D11" s="40"/>
      <c r="E11" s="40"/>
      <c r="F11" s="41"/>
      <c r="G11" s="49"/>
      <c r="H11" s="40"/>
      <c r="I11" s="50"/>
    </row>
    <row r="12" spans="2:11" x14ac:dyDescent="0.35">
      <c r="B12" t="s">
        <v>79</v>
      </c>
      <c r="C12" s="63">
        <v>5000000</v>
      </c>
      <c r="D12" s="40">
        <f>C12/$C$13</f>
        <v>1</v>
      </c>
      <c r="E12" s="40"/>
      <c r="F12" s="51"/>
      <c r="G12" s="42">
        <f>$G$13*H12</f>
        <v>400000</v>
      </c>
      <c r="H12" s="40">
        <f>D12</f>
        <v>1</v>
      </c>
      <c r="I12" s="43">
        <f>G12/$G$15</f>
        <v>0.4</v>
      </c>
      <c r="J12" s="36"/>
      <c r="K12" s="10">
        <f>G12/C12</f>
        <v>0.08</v>
      </c>
    </row>
    <row r="13" spans="2:11" x14ac:dyDescent="0.35">
      <c r="B13" s="17" t="s">
        <v>74</v>
      </c>
      <c r="C13" s="52">
        <f>SUM(C12:C12)</f>
        <v>5000000</v>
      </c>
      <c r="D13" s="47">
        <f>SUM(D12:D12)</f>
        <v>1</v>
      </c>
      <c r="E13" s="47"/>
      <c r="F13" s="53"/>
      <c r="G13" s="54">
        <f>I13*G15</f>
        <v>400000</v>
      </c>
      <c r="H13" s="47">
        <f>SUM(H12:H12)</f>
        <v>1</v>
      </c>
      <c r="I13" s="64">
        <v>0.4</v>
      </c>
      <c r="J13" s="38"/>
      <c r="K13" s="39">
        <f>G13/C13</f>
        <v>0.08</v>
      </c>
    </row>
    <row r="14" spans="2:11" x14ac:dyDescent="0.35">
      <c r="C14" s="48"/>
      <c r="D14" s="40"/>
      <c r="E14" s="40"/>
      <c r="F14" s="41"/>
      <c r="G14" s="49"/>
      <c r="H14" s="40"/>
      <c r="I14" s="40"/>
    </row>
    <row r="15" spans="2:11" x14ac:dyDescent="0.35">
      <c r="B15" s="17" t="s">
        <v>80</v>
      </c>
      <c r="C15" s="99">
        <f>C13+C9</f>
        <v>25000000</v>
      </c>
      <c r="D15" s="40"/>
      <c r="E15" s="40"/>
      <c r="F15" s="56" t="s">
        <v>81</v>
      </c>
      <c r="G15" s="100">
        <v>1000000</v>
      </c>
      <c r="I15" s="101">
        <v>1</v>
      </c>
    </row>
    <row r="16" spans="2:11" x14ac:dyDescent="0.35">
      <c r="C16" s="48"/>
      <c r="D16" s="40"/>
      <c r="E16" s="40"/>
      <c r="I16" s="72"/>
    </row>
    <row r="17" spans="2:11" x14ac:dyDescent="0.35">
      <c r="B17" s="88" t="s">
        <v>82</v>
      </c>
      <c r="G17" s="89" t="s">
        <v>75</v>
      </c>
    </row>
    <row r="18" spans="2:11" x14ac:dyDescent="0.35">
      <c r="B18" s="84" t="s">
        <v>83</v>
      </c>
      <c r="C18" s="82">
        <f>C13/I13</f>
        <v>12500000</v>
      </c>
      <c r="D18" s="85">
        <f>C18/$C$15</f>
        <v>0.5</v>
      </c>
      <c r="G18" s="75" t="s">
        <v>71</v>
      </c>
      <c r="H18" s="98">
        <f>G12</f>
        <v>400000</v>
      </c>
      <c r="I18" s="77"/>
      <c r="J18" s="78"/>
      <c r="K18" s="58">
        <f>G15/C15</f>
        <v>0.04</v>
      </c>
    </row>
    <row r="19" spans="2:11" x14ac:dyDescent="0.35">
      <c r="B19" s="68" t="s">
        <v>84</v>
      </c>
      <c r="C19" s="81">
        <f>C18*I9</f>
        <v>7500000</v>
      </c>
      <c r="D19" s="66">
        <f>C19/C9</f>
        <v>0.375</v>
      </c>
      <c r="G19" s="79" t="s">
        <v>76</v>
      </c>
      <c r="H19" s="9">
        <f>G6</f>
        <v>480000</v>
      </c>
      <c r="I19" s="80" t="str">
        <f>IF(I6&lt;I13,"error","ok")</f>
        <v>ok</v>
      </c>
      <c r="J19" s="79"/>
      <c r="K19" s="11"/>
    </row>
    <row r="20" spans="2:11" x14ac:dyDescent="0.35">
      <c r="B20" s="68" t="s">
        <v>85</v>
      </c>
      <c r="C20" s="81">
        <f>C18*I13</f>
        <v>5000000</v>
      </c>
      <c r="D20" s="66">
        <f>C20/C13</f>
        <v>1</v>
      </c>
    </row>
    <row r="21" spans="2:11" x14ac:dyDescent="0.35">
      <c r="B21" s="86" t="s">
        <v>86</v>
      </c>
      <c r="C21" s="83">
        <f>C15-C18</f>
        <v>12500000</v>
      </c>
      <c r="D21" s="87">
        <f t="shared" ref="D21" si="1">C21/$C$15</f>
        <v>0.5</v>
      </c>
      <c r="H21" s="13"/>
    </row>
    <row r="22" spans="2:11" x14ac:dyDescent="0.35">
      <c r="H22" s="13"/>
    </row>
    <row r="23" spans="2:11" x14ac:dyDescent="0.35">
      <c r="H23" s="13"/>
    </row>
    <row r="24" spans="2:11" x14ac:dyDescent="0.35">
      <c r="H24" s="13"/>
    </row>
    <row r="25" spans="2:11" x14ac:dyDescent="0.35">
      <c r="C25" s="4"/>
      <c r="D25" s="13"/>
      <c r="E25" s="13"/>
      <c r="F25" s="5"/>
    </row>
    <row r="26" spans="2:11" x14ac:dyDescent="0.35">
      <c r="C26" s="4"/>
      <c r="D26" s="13"/>
      <c r="E26" s="13"/>
      <c r="F26" s="5"/>
    </row>
  </sheetData>
  <sheetProtection algorithmName="SHA-512" hashValue="sSprqwc7QJJGBpmXYi9YuVCn0tP7bnvbKRkXzwo9N6U8FsCJSG3qmWJQh/DCcubgss2mzYOoXdEmUyuTT2kkCg==" saltValue="bL+RZrCSmO1lknqRowaoyg==" spinCount="100000" sheet="1" objects="1" scenarios="1"/>
  <pageMargins left="0.7" right="0.7" top="0.75" bottom="0.75" header="0.3" footer="0.3"/>
  <pageSetup orientation="portrait" verticalDpi="0"/>
  <extLst>
    <ext xmlns:x14="http://schemas.microsoft.com/office/spreadsheetml/2009/9/main" uri="{78C0D931-6437-407d-A8EE-F0AAD7539E65}">
      <x14:conditionalFormattings>
        <x14:conditionalFormatting xmlns:xm="http://schemas.microsoft.com/office/excel/2006/main">
          <x14:cfRule type="containsText" priority="1" operator="containsText" id="{41B90F03-33C1-410C-AF91-9408E1DDEAC7}">
            <xm:f>NOT(ISERROR(SEARCH("ok",I19)))</xm:f>
            <xm:f>"ok"</xm:f>
            <x14:dxf>
              <font>
                <color rgb="FF006100"/>
              </font>
              <fill>
                <patternFill>
                  <bgColor rgb="FFC6EFCE"/>
                </patternFill>
              </fill>
            </x14:dxf>
          </x14:cfRule>
          <x14:cfRule type="containsText" priority="2" operator="containsText" id="{D5680A59-2C01-4153-94C3-16AC51936E99}">
            <xm:f>NOT(ISERROR(SEARCH("error",I19)))</xm:f>
            <xm:f>"error"</xm:f>
            <x14:dxf>
              <font>
                <color rgb="FF9C0006"/>
              </font>
              <fill>
                <patternFill>
                  <bgColor rgb="FFFFC7CE"/>
                </patternFill>
              </fill>
            </x14:dxf>
          </x14:cfRule>
          <xm:sqref>I19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e5294fd8-5040-41aa-ae08-659efe2cfdb7" xsi:nil="true"/>
    <lcf76f155ced4ddcb4097134ff3c332f xmlns="39387cb4-04b2-4b5d-9be7-69bfce247a5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0889713652FC24FBF528299F2927A89" ma:contentTypeVersion="17" ma:contentTypeDescription="Create a new document." ma:contentTypeScope="" ma:versionID="45bf05f3df5849a3cb306bf8ab8916ed">
  <xsd:schema xmlns:xsd="http://www.w3.org/2001/XMLSchema" xmlns:xs="http://www.w3.org/2001/XMLSchema" xmlns:p="http://schemas.microsoft.com/office/2006/metadata/properties" xmlns:ns1="http://schemas.microsoft.com/sharepoint/v3" xmlns:ns2="39387cb4-04b2-4b5d-9be7-69bfce247a53" xmlns:ns3="5f6f42a1-dd2d-4d36-befb-ab3db5dc210f" xmlns:ns4="e5294fd8-5040-41aa-ae08-659efe2cfdb7" targetNamespace="http://schemas.microsoft.com/office/2006/metadata/properties" ma:root="true" ma:fieldsID="14f87268d229ff9c6157ffa0224946ee" ns1:_="" ns2:_="" ns3:_="" ns4:_="">
    <xsd:import namespace="http://schemas.microsoft.com/sharepoint/v3"/>
    <xsd:import namespace="39387cb4-04b2-4b5d-9be7-69bfce247a53"/>
    <xsd:import namespace="5f6f42a1-dd2d-4d36-befb-ab3db5dc210f"/>
    <xsd:import namespace="e5294fd8-5040-41aa-ae08-659efe2cfdb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SearchProperties" minOccurs="0"/>
                <xsd:element ref="ns2:MediaServiceObjectDetectorVersions" minOccurs="0"/>
                <xsd:element ref="ns2:lcf76f155ced4ddcb4097134ff3c332f" minOccurs="0"/>
                <xsd:element ref="ns4:TaxCatchAll" minOccurs="0"/>
                <xsd:element ref="ns2:MediaServiceDateTaken"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387cb4-04b2-4b5d-9be7-69bfce247a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1402996-41b1-49f0-b66d-8c2b915b121c"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6f42a1-dd2d-4d36-befb-ab3db5dc210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294fd8-5040-41aa-ae08-659efe2cfdb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72310be-d089-4746-869c-3904b964773d}" ma:internalName="TaxCatchAll" ma:showField="CatchAllData" ma:web="5f6f42a1-dd2d-4d36-befb-ab3db5dc21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18FEBA-27FD-4542-B17E-D817C19320AD}">
  <ds:schemaRefs>
    <ds:schemaRef ds:uri="http://schemas.microsoft.com/office/infopath/2007/PartnerControls"/>
    <ds:schemaRef ds:uri="http://purl.org/dc/elements/1.1/"/>
    <ds:schemaRef ds:uri="http://schemas.microsoft.com/sharepoint/v3"/>
    <ds:schemaRef ds:uri="http://schemas.openxmlformats.org/package/2006/metadata/core-properties"/>
    <ds:schemaRef ds:uri="http://purl.org/dc/terms/"/>
    <ds:schemaRef ds:uri="e5294fd8-5040-41aa-ae08-659efe2cfdb7"/>
    <ds:schemaRef ds:uri="5f6f42a1-dd2d-4d36-befb-ab3db5dc210f"/>
    <ds:schemaRef ds:uri="http://purl.org/dc/dcmitype/"/>
    <ds:schemaRef ds:uri="http://schemas.microsoft.com/office/2006/documentManagement/types"/>
    <ds:schemaRef ds:uri="39387cb4-04b2-4b5d-9be7-69bfce247a5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71C428CA-E1CB-444C-8516-DB2F4D13B3B0}">
  <ds:schemaRefs>
    <ds:schemaRef ds:uri="http://schemas.microsoft.com/sharepoint/v3/contenttype/forms"/>
  </ds:schemaRefs>
</ds:datastoreItem>
</file>

<file path=customXml/itemProps3.xml><?xml version="1.0" encoding="utf-8"?>
<ds:datastoreItem xmlns:ds="http://schemas.openxmlformats.org/officeDocument/2006/customXml" ds:itemID="{654CF28A-3D6E-44F4-B19D-1779E9F855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9387cb4-04b2-4b5d-9be7-69bfce247a53"/>
    <ds:schemaRef ds:uri="5f6f42a1-dd2d-4d36-befb-ab3db5dc210f"/>
    <ds:schemaRef ds:uri="e5294fd8-5040-41aa-ae08-659efe2cfd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Ratio calcs</vt:lpstr>
      <vt:lpstr>Eneration transfer</vt:lpstr>
      <vt:lpstr>Instructions</vt:lpstr>
      <vt:lpstr>Fund Manager Calcs (Primary)</vt:lpstr>
      <vt:lpstr>Fund Manager Calcs (Sidecar)</vt:lpstr>
      <vt:lpstr>'Fund Manager Calcs (Primary)'!circ</vt:lpstr>
      <vt:lpstr>'Fund Manager Calcs (Sidecar)'!circ</vt:lpstr>
      <vt:lpstr>circ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Fund Manager Deployment Calculations</dc:title>
  <dc:subject/>
  <dc:creator>Jonathon Horne</dc:creator>
  <cp:keywords/>
  <dc:description/>
  <cp:lastModifiedBy>Mark Barthel</cp:lastModifiedBy>
  <cp:revision/>
  <dcterms:created xsi:type="dcterms:W3CDTF">2025-07-02T18:28:47Z</dcterms:created>
  <dcterms:modified xsi:type="dcterms:W3CDTF">2026-05-20T21:43:51Z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0x01010010889713652FC24FBF528299F2927A89</vt:lpwstr>
  </property>
  <property fmtid="{D5CDD505-2E9C-101B-9397-08002B2CF9AE}" pid="3" name="MediaServiceImageTags">
    <vt:lpwstr/>
  </property>
</Properties>
</file>